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EPORTS\Article V Performance Measure\2017-18 Reports\Collections Report\"/>
    </mc:Choice>
  </mc:AlternateContent>
  <workbookProtection workbookAlgorithmName="SHA-512" workbookHashValue="DI7eP8/wxxpb2s3RvK5VbHCo/UB3pzfP6y/NzbTklwoqhfxZRLcFA1Ienz64RvReBMhhMh7Kz+pmq8eQzAi0/w==" workbookSaltValue="x0kMlFdzZ12Lco05A9qiqA==" workbookSpinCount="100000" lockStructure="1"/>
  <bookViews>
    <workbookView xWindow="0" yWindow="0" windowWidth="20400" windowHeight="7620" tabRatio="602"/>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workbook>
</file>

<file path=xl/calcChain.xml><?xml version="1.0" encoding="utf-8"?>
<calcChain xmlns="http://schemas.openxmlformats.org/spreadsheetml/2006/main">
  <c r="D4" i="54" l="1"/>
  <c r="B9" i="47" l="1"/>
  <c r="B7" i="47"/>
  <c r="N26" i="48" l="1"/>
  <c r="N25" i="48"/>
  <c r="N22" i="48"/>
  <c r="N21" i="48"/>
  <c r="N18" i="48"/>
  <c r="N17" i="48"/>
  <c r="N14" i="48"/>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L4" i="48"/>
  <c r="H4" i="49"/>
  <c r="H4" i="50"/>
  <c r="H4" i="51"/>
  <c r="H4" i="52"/>
  <c r="H4" i="53"/>
  <c r="H4" i="54"/>
  <c r="H4" i="55"/>
  <c r="H4" i="56"/>
  <c r="H4" i="48"/>
  <c r="D4" i="49"/>
  <c r="D4" i="51"/>
  <c r="D4" i="52"/>
  <c r="D4" i="53"/>
  <c r="D4" i="55"/>
  <c r="D4" i="56"/>
  <c r="D4" i="48"/>
  <c r="N23" i="48" l="1"/>
  <c r="N19" i="48"/>
  <c r="N27" i="48"/>
  <c r="N15" i="48"/>
  <c r="L43" i="56"/>
  <c r="C40" i="56"/>
  <c r="A40" i="56"/>
  <c r="L39" i="56"/>
  <c r="K39" i="56"/>
  <c r="C36" i="56"/>
  <c r="A36" i="56"/>
  <c r="L35" i="56"/>
  <c r="K35" i="56"/>
  <c r="J35" i="56"/>
  <c r="C32" i="56"/>
  <c r="A32" i="56"/>
  <c r="L31" i="56"/>
  <c r="K31" i="56"/>
  <c r="J31" i="56"/>
  <c r="I31" i="56"/>
  <c r="C28" i="56"/>
  <c r="A28" i="56"/>
  <c r="L27" i="56"/>
  <c r="K27" i="56"/>
  <c r="J27" i="56"/>
  <c r="I27" i="56"/>
  <c r="C24" i="56"/>
  <c r="A24" i="56"/>
  <c r="K23" i="56"/>
  <c r="J23" i="56"/>
  <c r="I23" i="56"/>
  <c r="C20" i="56"/>
  <c r="A20" i="56"/>
  <c r="J19" i="56"/>
  <c r="I19" i="56"/>
  <c r="C16" i="56"/>
  <c r="A16" i="56"/>
  <c r="I15" i="56"/>
  <c r="C12" i="56"/>
  <c r="A12" i="56"/>
  <c r="L11" i="56"/>
  <c r="K11" i="56"/>
  <c r="J11" i="56"/>
  <c r="I11" i="56"/>
  <c r="H11" i="56"/>
  <c r="G11" i="56"/>
  <c r="F11" i="56"/>
  <c r="E11" i="56"/>
  <c r="D8" i="56"/>
  <c r="L43" i="55"/>
  <c r="C40" i="55"/>
  <c r="A40" i="55"/>
  <c r="L39" i="55"/>
  <c r="K39" i="55"/>
  <c r="C36" i="55"/>
  <c r="A36" i="55"/>
  <c r="L35" i="55"/>
  <c r="K35" i="55"/>
  <c r="J35" i="55"/>
  <c r="C32" i="55"/>
  <c r="A32" i="55"/>
  <c r="L31" i="55"/>
  <c r="K31" i="55"/>
  <c r="J31" i="55"/>
  <c r="I31" i="55"/>
  <c r="C28" i="55"/>
  <c r="A28" i="55"/>
  <c r="L27" i="55"/>
  <c r="K27" i="55"/>
  <c r="J27" i="55"/>
  <c r="I27" i="55"/>
  <c r="C24" i="55"/>
  <c r="A24" i="55"/>
  <c r="K23" i="55"/>
  <c r="J23" i="55"/>
  <c r="I23" i="55"/>
  <c r="C20" i="55"/>
  <c r="A20" i="55"/>
  <c r="J19" i="55"/>
  <c r="I19" i="55"/>
  <c r="C16" i="55"/>
  <c r="A16" i="55"/>
  <c r="I15" i="55"/>
  <c r="C12" i="55"/>
  <c r="A12" i="55"/>
  <c r="L11" i="55"/>
  <c r="K11" i="55"/>
  <c r="J11" i="55"/>
  <c r="I11" i="55"/>
  <c r="H11" i="55"/>
  <c r="G11" i="55"/>
  <c r="F11" i="55"/>
  <c r="E11" i="55"/>
  <c r="D8" i="55"/>
  <c r="L43" i="54"/>
  <c r="C40" i="54"/>
  <c r="A40" i="54"/>
  <c r="L39" i="54"/>
  <c r="K39" i="54"/>
  <c r="C36" i="54"/>
  <c r="A36" i="54"/>
  <c r="L35" i="54"/>
  <c r="K35" i="54"/>
  <c r="J35" i="54"/>
  <c r="C32" i="54"/>
  <c r="A32" i="54"/>
  <c r="L31" i="54"/>
  <c r="K31" i="54"/>
  <c r="J31" i="54"/>
  <c r="I31" i="54"/>
  <c r="C28" i="54"/>
  <c r="A28" i="54"/>
  <c r="L27" i="54"/>
  <c r="K27" i="54"/>
  <c r="J27" i="54"/>
  <c r="I27" i="54"/>
  <c r="C24" i="54"/>
  <c r="A24" i="54"/>
  <c r="K23" i="54"/>
  <c r="J23" i="54"/>
  <c r="I23" i="54"/>
  <c r="C20" i="54"/>
  <c r="A20" i="54"/>
  <c r="J19" i="54"/>
  <c r="I19" i="54"/>
  <c r="C16" i="54"/>
  <c r="A16" i="54"/>
  <c r="I15" i="54"/>
  <c r="C12" i="54"/>
  <c r="A12" i="54"/>
  <c r="L11" i="54"/>
  <c r="K11" i="54"/>
  <c r="J11" i="54"/>
  <c r="I11" i="54"/>
  <c r="H11" i="54"/>
  <c r="G11" i="54"/>
  <c r="F11" i="54"/>
  <c r="E11" i="54"/>
  <c r="D8" i="54"/>
  <c r="L43" i="53"/>
  <c r="C40" i="53"/>
  <c r="A40" i="53"/>
  <c r="L39" i="53"/>
  <c r="K39" i="53"/>
  <c r="C36" i="53"/>
  <c r="A36" i="53"/>
  <c r="L35" i="53"/>
  <c r="K35" i="53"/>
  <c r="J35" i="53"/>
  <c r="C32" i="53"/>
  <c r="A32" i="53"/>
  <c r="L31" i="53"/>
  <c r="K31" i="53"/>
  <c r="J31" i="53"/>
  <c r="I31" i="53"/>
  <c r="C28" i="53"/>
  <c r="A28" i="53"/>
  <c r="L27" i="53"/>
  <c r="K27" i="53"/>
  <c r="J27" i="53"/>
  <c r="I27" i="53"/>
  <c r="C24" i="53"/>
  <c r="A24" i="53"/>
  <c r="K23" i="53"/>
  <c r="J23" i="53"/>
  <c r="I23" i="53"/>
  <c r="C20" i="53"/>
  <c r="A20" i="53"/>
  <c r="J19" i="53"/>
  <c r="I19" i="53"/>
  <c r="C16" i="53"/>
  <c r="A16" i="53"/>
  <c r="I15" i="53"/>
  <c r="C12" i="53"/>
  <c r="A12" i="53"/>
  <c r="L11" i="53"/>
  <c r="K11" i="53"/>
  <c r="J11" i="53"/>
  <c r="I11" i="53"/>
  <c r="H11" i="53"/>
  <c r="G11" i="53"/>
  <c r="F11" i="53"/>
  <c r="E11" i="53"/>
  <c r="D8" i="53"/>
  <c r="L43" i="52"/>
  <c r="C40" i="52"/>
  <c r="A40" i="52"/>
  <c r="L39" i="52"/>
  <c r="K39" i="52"/>
  <c r="C36" i="52"/>
  <c r="A36" i="52"/>
  <c r="L35" i="52"/>
  <c r="K35" i="52"/>
  <c r="J35" i="52"/>
  <c r="C32" i="52"/>
  <c r="A32" i="52"/>
  <c r="L31" i="52"/>
  <c r="K31" i="52"/>
  <c r="J31" i="52"/>
  <c r="I31" i="52"/>
  <c r="C28" i="52"/>
  <c r="A28" i="52"/>
  <c r="L27" i="52"/>
  <c r="K27" i="52"/>
  <c r="J27" i="52"/>
  <c r="I27" i="52"/>
  <c r="C24" i="52"/>
  <c r="A24" i="52"/>
  <c r="K23" i="52"/>
  <c r="J23" i="52"/>
  <c r="I23" i="52"/>
  <c r="C20" i="52"/>
  <c r="A20" i="52"/>
  <c r="J19" i="52"/>
  <c r="I19" i="52"/>
  <c r="C16" i="52"/>
  <c r="A16" i="52"/>
  <c r="I15" i="52"/>
  <c r="C12" i="52"/>
  <c r="A12" i="52"/>
  <c r="L11" i="52"/>
  <c r="K11" i="52"/>
  <c r="J11" i="52"/>
  <c r="I11" i="52"/>
  <c r="H11" i="52"/>
  <c r="G11" i="52"/>
  <c r="F11" i="52"/>
  <c r="E11" i="52"/>
  <c r="D8" i="52"/>
  <c r="L43" i="51"/>
  <c r="C40" i="51"/>
  <c r="A40" i="51"/>
  <c r="L39" i="51"/>
  <c r="K39" i="51"/>
  <c r="C36" i="51"/>
  <c r="A36" i="51"/>
  <c r="L35" i="51"/>
  <c r="K35" i="51"/>
  <c r="J35" i="51"/>
  <c r="C32" i="51"/>
  <c r="A32" i="51"/>
  <c r="L31" i="51"/>
  <c r="K31" i="51"/>
  <c r="J31" i="51"/>
  <c r="I31" i="51"/>
  <c r="C28" i="51"/>
  <c r="A28" i="51"/>
  <c r="L27" i="51"/>
  <c r="K27" i="51"/>
  <c r="J27" i="51"/>
  <c r="I27" i="51"/>
  <c r="C24" i="51"/>
  <c r="A24" i="51"/>
  <c r="K23" i="51"/>
  <c r="J23" i="51"/>
  <c r="I23" i="51"/>
  <c r="C20" i="51"/>
  <c r="A20" i="51"/>
  <c r="J19" i="51"/>
  <c r="I19" i="51"/>
  <c r="C16" i="51"/>
  <c r="A16" i="51"/>
  <c r="I15" i="51"/>
  <c r="C12" i="51"/>
  <c r="A12" i="51"/>
  <c r="L11" i="51"/>
  <c r="K11" i="51"/>
  <c r="J11" i="51"/>
  <c r="I11" i="51"/>
  <c r="H11" i="51"/>
  <c r="G11" i="51"/>
  <c r="F11" i="51"/>
  <c r="E11" i="51"/>
  <c r="D8" i="51"/>
  <c r="L43" i="50"/>
  <c r="C40" i="50"/>
  <c r="A40" i="50"/>
  <c r="L39" i="50"/>
  <c r="K39" i="50"/>
  <c r="C36" i="50"/>
  <c r="A36" i="50"/>
  <c r="L35" i="50"/>
  <c r="K35" i="50"/>
  <c r="J35" i="50"/>
  <c r="C32" i="50"/>
  <c r="A32" i="50"/>
  <c r="L31" i="50"/>
  <c r="K31" i="50"/>
  <c r="J31" i="50"/>
  <c r="I31" i="50"/>
  <c r="C28" i="50"/>
  <c r="A28" i="50"/>
  <c r="L27" i="50"/>
  <c r="K27" i="50"/>
  <c r="J27" i="50"/>
  <c r="I27" i="50"/>
  <c r="C24" i="50"/>
  <c r="A24" i="50"/>
  <c r="K23" i="50"/>
  <c r="J23" i="50"/>
  <c r="I23" i="50"/>
  <c r="C20" i="50"/>
  <c r="A20" i="50"/>
  <c r="J19" i="50"/>
  <c r="I19" i="50"/>
  <c r="C16" i="50"/>
  <c r="A16" i="50"/>
  <c r="I15" i="50"/>
  <c r="C12" i="50"/>
  <c r="A12" i="50"/>
  <c r="L11" i="50"/>
  <c r="K11" i="50"/>
  <c r="J11" i="50"/>
  <c r="I11" i="50"/>
  <c r="H11" i="50"/>
  <c r="G11" i="50"/>
  <c r="F11" i="50"/>
  <c r="E11" i="50"/>
  <c r="D8" i="50"/>
  <c r="L43" i="49"/>
  <c r="C40" i="49"/>
  <c r="A40" i="49"/>
  <c r="L39" i="49"/>
  <c r="K39" i="49"/>
  <c r="C36" i="49"/>
  <c r="A36" i="49"/>
  <c r="L35" i="49"/>
  <c r="K35" i="49"/>
  <c r="J35" i="49"/>
  <c r="C32" i="49"/>
  <c r="A32" i="49"/>
  <c r="L31" i="49"/>
  <c r="K31" i="49"/>
  <c r="J31" i="49"/>
  <c r="I31" i="49"/>
  <c r="C28" i="49"/>
  <c r="A28" i="49"/>
  <c r="L27" i="49"/>
  <c r="K27" i="49"/>
  <c r="J27" i="49"/>
  <c r="I27" i="49"/>
  <c r="C24" i="49"/>
  <c r="A24" i="49"/>
  <c r="K23" i="49"/>
  <c r="J23" i="49"/>
  <c r="I23" i="49"/>
  <c r="C20" i="49"/>
  <c r="A20" i="49"/>
  <c r="J19" i="49"/>
  <c r="I19" i="49"/>
  <c r="C16" i="49"/>
  <c r="A16" i="49"/>
  <c r="I15" i="49"/>
  <c r="C12" i="49"/>
  <c r="A12" i="49"/>
  <c r="L11" i="49"/>
  <c r="K11" i="49"/>
  <c r="J11" i="49"/>
  <c r="I11" i="49"/>
  <c r="H11" i="49"/>
  <c r="G11" i="49"/>
  <c r="F11" i="49"/>
  <c r="E11" i="49"/>
  <c r="D8" i="49"/>
  <c r="L43" i="48"/>
  <c r="C40" i="48"/>
  <c r="A40" i="48"/>
  <c r="L39" i="48"/>
  <c r="K39" i="48"/>
  <c r="C36" i="48"/>
  <c r="A36" i="48"/>
  <c r="L35" i="48"/>
  <c r="K35" i="48"/>
  <c r="J35" i="48"/>
  <c r="C32" i="48"/>
  <c r="A32" i="48"/>
  <c r="L31" i="48"/>
  <c r="K31" i="48"/>
  <c r="J31" i="48"/>
  <c r="I31" i="48"/>
  <c r="C28" i="48"/>
  <c r="A28" i="48"/>
  <c r="L27" i="48"/>
  <c r="K27" i="48"/>
  <c r="J27" i="48"/>
  <c r="I27" i="48"/>
  <c r="C24" i="48"/>
  <c r="A24" i="48"/>
  <c r="K23" i="48"/>
  <c r="J23" i="48"/>
  <c r="I23" i="48"/>
  <c r="C20" i="48"/>
  <c r="A20" i="48"/>
  <c r="J19" i="48"/>
  <c r="I19" i="48"/>
  <c r="C16" i="48"/>
  <c r="A16" i="48"/>
  <c r="I15" i="48"/>
  <c r="C12" i="48"/>
  <c r="A12" i="48"/>
  <c r="L11" i="48"/>
  <c r="K11" i="48"/>
  <c r="J11" i="48"/>
  <c r="I11" i="48"/>
  <c r="H11" i="48"/>
  <c r="G11" i="48"/>
  <c r="F11" i="48"/>
  <c r="E11" i="48"/>
  <c r="D8" i="48"/>
  <c r="H21" i="56" l="1"/>
  <c r="H22" i="56"/>
  <c r="H18" i="56"/>
  <c r="G18" i="56"/>
  <c r="H17" i="56"/>
  <c r="G17" i="56"/>
  <c r="G22" i="56"/>
  <c r="H21" i="55"/>
  <c r="H22" i="55"/>
  <c r="H17" i="55"/>
  <c r="G18" i="55"/>
  <c r="G17" i="55"/>
  <c r="H18" i="55"/>
  <c r="G22" i="55"/>
  <c r="H21" i="54"/>
  <c r="H22" i="54"/>
  <c r="G22" i="54"/>
  <c r="H18" i="54"/>
  <c r="G18" i="54"/>
  <c r="H17" i="54"/>
  <c r="G17" i="54"/>
  <c r="H22" i="53"/>
  <c r="H21" i="53"/>
  <c r="G22" i="53"/>
  <c r="H18" i="53"/>
  <c r="G18" i="53"/>
  <c r="H17" i="53"/>
  <c r="G17" i="53"/>
  <c r="H21" i="52"/>
  <c r="H22" i="52"/>
  <c r="H18" i="52"/>
  <c r="G17" i="52"/>
  <c r="G18" i="52"/>
  <c r="H17" i="52"/>
  <c r="G22" i="52"/>
  <c r="H21" i="51"/>
  <c r="H22" i="51"/>
  <c r="G22" i="51"/>
  <c r="H18" i="51"/>
  <c r="G18" i="51"/>
  <c r="H17" i="51"/>
  <c r="G17" i="51"/>
  <c r="H21" i="50"/>
  <c r="H22" i="50"/>
  <c r="H18" i="50"/>
  <c r="G18" i="50"/>
  <c r="G17" i="50"/>
  <c r="H17" i="50"/>
  <c r="H25" i="50"/>
  <c r="H22" i="49"/>
  <c r="H21" i="49"/>
  <c r="G22" i="49"/>
  <c r="H18" i="49"/>
  <c r="G18" i="49"/>
  <c r="H17" i="49"/>
  <c r="G17" i="49"/>
  <c r="H21" i="48"/>
  <c r="H22" i="48"/>
  <c r="H18" i="48"/>
  <c r="G18" i="48"/>
  <c r="H17" i="48"/>
  <c r="G17" i="48"/>
  <c r="H25" i="48"/>
  <c r="H13" i="52"/>
  <c r="H13" i="55"/>
  <c r="H13" i="54"/>
  <c r="H14" i="51"/>
  <c r="H13" i="56"/>
  <c r="H14" i="53"/>
  <c r="F17" i="53"/>
  <c r="H25" i="53"/>
  <c r="H14" i="52"/>
  <c r="F17" i="52"/>
  <c r="H25" i="52"/>
  <c r="H14" i="56"/>
  <c r="F17" i="56"/>
  <c r="H25" i="56"/>
  <c r="H14" i="55"/>
  <c r="F17" i="55"/>
  <c r="H25" i="55"/>
  <c r="H13" i="53"/>
  <c r="H14" i="54"/>
  <c r="F17" i="54"/>
  <c r="H25" i="54"/>
  <c r="H8" i="51"/>
  <c r="H13" i="51"/>
  <c r="H8" i="52"/>
  <c r="F13" i="52"/>
  <c r="F14" i="52"/>
  <c r="H8" i="53"/>
  <c r="F13" i="53"/>
  <c r="F14" i="53"/>
  <c r="H8" i="54"/>
  <c r="F13" i="54"/>
  <c r="F14" i="54"/>
  <c r="H8" i="55"/>
  <c r="F13" i="55"/>
  <c r="F14" i="55"/>
  <c r="H8" i="56"/>
  <c r="F13" i="56"/>
  <c r="F14" i="56"/>
  <c r="F13" i="51"/>
  <c r="H25" i="51"/>
  <c r="E13" i="52"/>
  <c r="E14" i="52"/>
  <c r="G21" i="52"/>
  <c r="H26" i="52"/>
  <c r="E13" i="53"/>
  <c r="E14" i="53"/>
  <c r="G21" i="53"/>
  <c r="H26" i="53"/>
  <c r="E13" i="54"/>
  <c r="E14" i="54"/>
  <c r="G21" i="54"/>
  <c r="H26" i="54"/>
  <c r="E13" i="55"/>
  <c r="E14" i="55"/>
  <c r="G21" i="55"/>
  <c r="H26" i="55"/>
  <c r="E13" i="56"/>
  <c r="E14" i="56"/>
  <c r="G21" i="56"/>
  <c r="H26" i="56"/>
  <c r="F14" i="51"/>
  <c r="G13" i="52"/>
  <c r="G14" i="52"/>
  <c r="F18" i="52"/>
  <c r="G13" i="53"/>
  <c r="G14" i="53"/>
  <c r="F18" i="53"/>
  <c r="G13" i="54"/>
  <c r="G14" i="54"/>
  <c r="F18" i="54"/>
  <c r="G13" i="55"/>
  <c r="G14" i="55"/>
  <c r="F18" i="55"/>
  <c r="G13" i="56"/>
  <c r="G14" i="56"/>
  <c r="F18" i="56"/>
  <c r="E13" i="51"/>
  <c r="E14" i="51"/>
  <c r="G21" i="51"/>
  <c r="H26" i="51"/>
  <c r="G13" i="51"/>
  <c r="G14" i="51"/>
  <c r="F18" i="51"/>
  <c r="F17" i="51"/>
  <c r="H8" i="50"/>
  <c r="F14" i="50"/>
  <c r="F13" i="50"/>
  <c r="E13" i="50"/>
  <c r="E14" i="50"/>
  <c r="G21" i="50"/>
  <c r="H26" i="50"/>
  <c r="G13" i="50"/>
  <c r="G14" i="50"/>
  <c r="F18" i="50"/>
  <c r="G22" i="50"/>
  <c r="H13" i="50"/>
  <c r="H14" i="50"/>
  <c r="F17" i="50"/>
  <c r="H13" i="49"/>
  <c r="H14" i="49"/>
  <c r="F17" i="49"/>
  <c r="H25" i="49"/>
  <c r="E13" i="49"/>
  <c r="G21" i="49"/>
  <c r="H26" i="49"/>
  <c r="H8" i="49"/>
  <c r="F13" i="49"/>
  <c r="F14" i="49"/>
  <c r="E14" i="49"/>
  <c r="G13" i="49"/>
  <c r="G14" i="49"/>
  <c r="F18" i="49"/>
  <c r="E13" i="48"/>
  <c r="E14" i="48"/>
  <c r="G21" i="48"/>
  <c r="H26" i="48"/>
  <c r="H8" i="48"/>
  <c r="F13" i="48"/>
  <c r="F14" i="48"/>
  <c r="G13" i="48"/>
  <c r="G14" i="48"/>
  <c r="F18" i="48"/>
  <c r="G22" i="48"/>
  <c r="H13" i="48"/>
  <c r="H14" i="48"/>
  <c r="F17" i="48"/>
  <c r="L43" i="44"/>
  <c r="L39" i="44"/>
  <c r="K39" i="44"/>
  <c r="L35" i="44"/>
  <c r="K35" i="44"/>
  <c r="J35" i="44"/>
  <c r="L31" i="44"/>
  <c r="K31" i="44"/>
  <c r="J31" i="44"/>
  <c r="I31" i="44"/>
  <c r="L27" i="44"/>
  <c r="K27" i="44"/>
  <c r="J27" i="44"/>
  <c r="K23" i="44"/>
  <c r="J23" i="44"/>
  <c r="I23" i="44"/>
  <c r="J19" i="44"/>
  <c r="I19" i="44"/>
  <c r="I15" i="44"/>
  <c r="G23" i="48" l="1"/>
  <c r="H23" i="48"/>
  <c r="H23" i="49"/>
  <c r="G19" i="50"/>
  <c r="H23" i="53"/>
  <c r="F19" i="49"/>
  <c r="F19" i="56"/>
  <c r="H27" i="48"/>
  <c r="H27" i="53"/>
  <c r="H19" i="48"/>
  <c r="H19" i="51"/>
  <c r="H19" i="56"/>
  <c r="H27" i="52"/>
  <c r="G19" i="49"/>
  <c r="H23" i="50"/>
  <c r="H23" i="54"/>
  <c r="G19" i="55"/>
  <c r="F19" i="53"/>
  <c r="H15" i="54"/>
  <c r="H19" i="53"/>
  <c r="H19" i="55"/>
  <c r="F19" i="52"/>
  <c r="H27" i="54"/>
  <c r="H27" i="50"/>
  <c r="H27" i="56"/>
  <c r="H27" i="55"/>
  <c r="H15" i="52"/>
  <c r="G23" i="50"/>
  <c r="G15" i="56"/>
  <c r="G15" i="52"/>
  <c r="H23" i="56"/>
  <c r="F15" i="51"/>
  <c r="H15" i="56"/>
  <c r="F19" i="51"/>
  <c r="F15" i="48"/>
  <c r="E15" i="48"/>
  <c r="H15" i="49"/>
  <c r="H15" i="50"/>
  <c r="G15" i="50"/>
  <c r="E15" i="50"/>
  <c r="F15" i="53"/>
  <c r="H19" i="49"/>
  <c r="H19" i="50"/>
  <c r="H23" i="51"/>
  <c r="G19" i="52"/>
  <c r="H23" i="55"/>
  <c r="H15" i="48"/>
  <c r="G15" i="48"/>
  <c r="G15" i="55"/>
  <c r="F15" i="54"/>
  <c r="G19" i="48"/>
  <c r="G19" i="51"/>
  <c r="G19" i="53"/>
  <c r="G23" i="53"/>
  <c r="H19" i="54"/>
  <c r="G19" i="56"/>
  <c r="F15" i="49"/>
  <c r="H15" i="51"/>
  <c r="H19" i="52"/>
  <c r="G15" i="49"/>
  <c r="F19" i="50"/>
  <c r="G15" i="51"/>
  <c r="E15" i="51"/>
  <c r="G15" i="53"/>
  <c r="E15" i="54"/>
  <c r="E15" i="53"/>
  <c r="E15" i="52"/>
  <c r="F15" i="56"/>
  <c r="F15" i="52"/>
  <c r="H15" i="53"/>
  <c r="G23" i="54"/>
  <c r="G23" i="52"/>
  <c r="G19" i="54"/>
  <c r="G23" i="56"/>
  <c r="F19" i="48"/>
  <c r="F15" i="50"/>
  <c r="H15" i="55"/>
  <c r="G23" i="49"/>
  <c r="F19" i="54"/>
  <c r="E15" i="49"/>
  <c r="H27" i="49"/>
  <c r="H27" i="51"/>
  <c r="F19" i="55"/>
  <c r="G15" i="54"/>
  <c r="E15" i="56"/>
  <c r="E15" i="55"/>
  <c r="F15" i="55"/>
  <c r="G23" i="51"/>
  <c r="H23" i="52"/>
  <c r="G23" i="55"/>
  <c r="G144" i="47"/>
  <c r="L64" i="47"/>
  <c r="G120" i="47"/>
  <c r="G112" i="47"/>
  <c r="N85" i="47"/>
  <c r="G122" i="47"/>
  <c r="F63" i="47"/>
  <c r="G119" i="47"/>
  <c r="G117" i="47"/>
  <c r="E217" i="47"/>
  <c r="D84" i="47"/>
  <c r="N37" i="47"/>
  <c r="N46" i="47"/>
  <c r="I41" i="47"/>
  <c r="E43" i="47"/>
  <c r="J24" i="47"/>
  <c r="N71" i="47"/>
  <c r="J80" i="47"/>
  <c r="F42" i="47"/>
  <c r="J25" i="47"/>
  <c r="I100" i="47"/>
  <c r="G62" i="47"/>
  <c r="G147" i="47"/>
  <c r="K95" i="47"/>
  <c r="J67" i="47"/>
  <c r="G135" i="47"/>
  <c r="E220" i="47"/>
  <c r="F56" i="47"/>
  <c r="F74" i="47"/>
  <c r="E33" i="47"/>
  <c r="D92" i="47"/>
  <c r="K25" i="47"/>
  <c r="M46" i="47"/>
  <c r="L31" i="47"/>
  <c r="I58" i="47"/>
  <c r="G31" i="47"/>
  <c r="N38" i="47"/>
  <c r="D89" i="47"/>
  <c r="G163" i="47"/>
  <c r="G168" i="47"/>
  <c r="K42" i="47"/>
  <c r="L41" i="47"/>
  <c r="L71" i="47"/>
  <c r="I84" i="47"/>
  <c r="G162" i="47"/>
  <c r="H21" i="47"/>
  <c r="D68" i="47"/>
  <c r="E59" i="47"/>
  <c r="M32" i="47"/>
  <c r="E32" i="47"/>
  <c r="D100" i="47"/>
  <c r="M30" i="47"/>
  <c r="G63" i="47"/>
  <c r="G115" i="47"/>
  <c r="D83" i="47"/>
  <c r="E81" i="47"/>
  <c r="E240" i="47"/>
  <c r="G152" i="47"/>
  <c r="E227" i="47"/>
  <c r="M48" i="47"/>
  <c r="N48" i="47"/>
  <c r="H85" i="47"/>
  <c r="D34" i="47"/>
  <c r="E234" i="47"/>
  <c r="E26" i="47"/>
  <c r="E214" i="47"/>
  <c r="N80" i="47"/>
  <c r="E75" i="47"/>
  <c r="M96" i="47"/>
  <c r="L81" i="47"/>
  <c r="I76" i="47"/>
  <c r="G80" i="47"/>
  <c r="G40" i="47"/>
  <c r="G124" i="47"/>
  <c r="E222" i="47"/>
  <c r="M45" i="47"/>
  <c r="N69" i="47"/>
  <c r="K31" i="47"/>
  <c r="J97" i="47"/>
  <c r="M54" i="47"/>
  <c r="E245" i="47"/>
  <c r="D35" i="47"/>
  <c r="F33" i="47"/>
  <c r="M31" i="47"/>
  <c r="M24" i="47"/>
  <c r="N64" i="47"/>
  <c r="M37" i="47"/>
  <c r="N62" i="47"/>
  <c r="N39" i="47"/>
  <c r="G145" i="47"/>
  <c r="N40" i="47"/>
  <c r="G49" i="47"/>
  <c r="N70" i="47"/>
  <c r="N94" i="47"/>
  <c r="G130" i="47"/>
  <c r="I83" i="47"/>
  <c r="G113" i="47"/>
  <c r="G54" i="47"/>
  <c r="J96" i="47"/>
  <c r="K73" i="47"/>
  <c r="M53" i="47"/>
  <c r="H23" i="47"/>
  <c r="G151" i="47"/>
  <c r="J83" i="47"/>
  <c r="E66" i="47"/>
  <c r="F89" i="47"/>
  <c r="H88" i="47"/>
  <c r="G128" i="47"/>
  <c r="H86" i="47"/>
  <c r="G72" i="47"/>
  <c r="L23" i="47"/>
  <c r="N86" i="47"/>
  <c r="J64" i="47"/>
  <c r="E51" i="47"/>
  <c r="L94" i="47"/>
  <c r="E34" i="47"/>
  <c r="D43" i="47"/>
  <c r="L55" i="47"/>
  <c r="F80" i="47"/>
  <c r="L80" i="47"/>
  <c r="L48" i="47"/>
  <c r="F26" i="47"/>
  <c r="G167" i="47"/>
  <c r="G126" i="47"/>
  <c r="J56" i="47"/>
  <c r="I98" i="47"/>
  <c r="J43" i="47"/>
  <c r="G104" i="47"/>
  <c r="K66" i="47"/>
  <c r="G65" i="47"/>
  <c r="J35" i="47"/>
  <c r="E42" i="47"/>
  <c r="N93" i="47"/>
  <c r="E226" i="47"/>
  <c r="G109" i="47"/>
  <c r="M29" i="47"/>
  <c r="L22" i="47"/>
  <c r="H64" i="47"/>
  <c r="G86" i="47"/>
  <c r="I44" i="47"/>
  <c r="I68" i="47"/>
  <c r="G22" i="47"/>
  <c r="G70" i="47"/>
  <c r="D60" i="47"/>
  <c r="H22" i="47"/>
  <c r="I73" i="47"/>
  <c r="D50" i="47"/>
  <c r="N54" i="47"/>
  <c r="E88" i="47"/>
  <c r="H54" i="47"/>
  <c r="E73" i="47"/>
  <c r="L86" i="47"/>
  <c r="G127" i="47"/>
  <c r="G165" i="47"/>
  <c r="G157" i="47"/>
  <c r="F88" i="47"/>
  <c r="J73" i="47"/>
  <c r="H47" i="47"/>
  <c r="E231" i="47"/>
  <c r="K33" i="47"/>
  <c r="E99" i="47"/>
  <c r="G41" i="47"/>
  <c r="K98" i="47"/>
  <c r="G78" i="47"/>
  <c r="I35" i="47"/>
  <c r="E49" i="47"/>
  <c r="H30" i="47"/>
  <c r="D33" i="47"/>
  <c r="L56" i="47"/>
  <c r="F55" i="47"/>
  <c r="I74" i="47"/>
  <c r="G110" i="47"/>
  <c r="K80" i="47"/>
  <c r="E241" i="47"/>
  <c r="K88" i="47"/>
  <c r="I82" i="47"/>
  <c r="G140" i="47"/>
  <c r="G171" i="47"/>
  <c r="G134" i="47"/>
  <c r="N63" i="47"/>
  <c r="N24" i="47"/>
  <c r="K96" i="47"/>
  <c r="F65" i="47"/>
  <c r="D41" i="47"/>
  <c r="N96" i="47"/>
  <c r="E228" i="47"/>
  <c r="M64" i="47"/>
  <c r="L63" i="47"/>
  <c r="F49" i="47"/>
  <c r="E218" i="47"/>
  <c r="G73" i="47"/>
  <c r="F98" i="47"/>
  <c r="J48" i="47"/>
  <c r="D81" i="47"/>
  <c r="H72" i="47"/>
  <c r="L72" i="47"/>
  <c r="G153" i="47"/>
  <c r="H80" i="47"/>
  <c r="F73" i="47"/>
  <c r="J26" i="47"/>
  <c r="G149" i="47"/>
  <c r="D73" i="47"/>
  <c r="G129" i="47"/>
  <c r="G25" i="47"/>
  <c r="H96" i="47"/>
  <c r="H56" i="47"/>
  <c r="D51" i="47"/>
  <c r="F87" i="47"/>
  <c r="G97" i="47"/>
  <c r="N77" i="47"/>
  <c r="N88" i="47"/>
  <c r="H95" i="47"/>
  <c r="N47" i="47"/>
  <c r="K72" i="47"/>
  <c r="M61" i="47"/>
  <c r="J90" i="47"/>
  <c r="E74" i="47"/>
  <c r="M56" i="47"/>
  <c r="E98" i="47"/>
  <c r="F50" i="47"/>
  <c r="J88" i="47"/>
  <c r="E80" i="47"/>
  <c r="I97" i="47"/>
  <c r="L97" i="47"/>
  <c r="E91" i="47"/>
  <c r="N53" i="47"/>
  <c r="G95" i="47"/>
  <c r="K39" i="47"/>
  <c r="E65" i="47"/>
  <c r="K23" i="47"/>
  <c r="H29" i="47"/>
  <c r="D27" i="47"/>
  <c r="G46" i="47"/>
  <c r="D95" i="47"/>
  <c r="E85" i="47"/>
  <c r="D53" i="47"/>
  <c r="J87" i="47"/>
  <c r="I69" i="47"/>
  <c r="D29" i="47"/>
  <c r="K46" i="47"/>
  <c r="D31" i="47"/>
  <c r="E45" i="47"/>
  <c r="K53" i="47"/>
  <c r="J46" i="47"/>
  <c r="D40" i="47"/>
  <c r="E38" i="47"/>
  <c r="L61" i="47"/>
  <c r="D56" i="47"/>
  <c r="I53" i="47"/>
  <c r="K70" i="47"/>
  <c r="D80" i="47"/>
  <c r="I87" i="47"/>
  <c r="L69" i="47"/>
  <c r="I86" i="47"/>
  <c r="J49" i="47"/>
  <c r="H32" i="47"/>
  <c r="J65" i="47"/>
  <c r="L95" i="47"/>
  <c r="K50" i="47"/>
  <c r="G89" i="47"/>
  <c r="E236" i="47"/>
  <c r="M87" i="47"/>
  <c r="M63" i="47"/>
  <c r="L88" i="47"/>
  <c r="J91" i="47"/>
  <c r="H70" i="47"/>
  <c r="D44" i="47"/>
  <c r="F95" i="47"/>
  <c r="E239" i="47"/>
  <c r="E27" i="47"/>
  <c r="N72" i="47"/>
  <c r="D82" i="47"/>
  <c r="M22" i="47"/>
  <c r="M69" i="47"/>
  <c r="M94" i="47"/>
  <c r="G133" i="47"/>
  <c r="J51" i="47"/>
  <c r="D58" i="47"/>
  <c r="E89" i="47"/>
  <c r="D99" i="47"/>
  <c r="D52" i="47"/>
  <c r="E41" i="47"/>
  <c r="K74" i="47"/>
  <c r="H71" i="47"/>
  <c r="I28" i="47"/>
  <c r="G71" i="47"/>
  <c r="H87" i="47"/>
  <c r="M62" i="47"/>
  <c r="L39" i="47"/>
  <c r="I60" i="47"/>
  <c r="E40" i="47"/>
  <c r="E243" i="47"/>
  <c r="H63" i="47"/>
  <c r="G131" i="47"/>
  <c r="G118" i="47"/>
  <c r="D75" i="47"/>
  <c r="E221" i="47"/>
  <c r="H77" i="47"/>
  <c r="E96" i="47"/>
  <c r="L65" i="47"/>
  <c r="D42" i="47"/>
  <c r="J41" i="47"/>
  <c r="F72" i="47"/>
  <c r="H37" i="47"/>
  <c r="K81" i="47"/>
  <c r="L46" i="47"/>
  <c r="G142" i="47"/>
  <c r="J72" i="47"/>
  <c r="F57" i="47"/>
  <c r="G164" i="47"/>
  <c r="E56" i="47"/>
  <c r="J34" i="47"/>
  <c r="K64" i="47"/>
  <c r="E35" i="47"/>
  <c r="E244" i="47"/>
  <c r="G30" i="47"/>
  <c r="L62" i="47"/>
  <c r="N32" i="47"/>
  <c r="H24" i="47"/>
  <c r="E82" i="47"/>
  <c r="K58" i="47"/>
  <c r="M47" i="47"/>
  <c r="M40" i="47"/>
  <c r="J89" i="47"/>
  <c r="I51" i="47"/>
  <c r="K87" i="47"/>
  <c r="E223" i="47"/>
  <c r="M86" i="47"/>
  <c r="G137" i="47"/>
  <c r="H93" i="47"/>
  <c r="I33" i="47"/>
  <c r="G96" i="47"/>
  <c r="G155" i="47"/>
  <c r="I40" i="47"/>
  <c r="D88" i="47"/>
  <c r="J63" i="47"/>
  <c r="I47" i="47"/>
  <c r="I55" i="47"/>
  <c r="F29" i="47"/>
  <c r="G93" i="47"/>
  <c r="E93" i="47"/>
  <c r="F54" i="47"/>
  <c r="I39" i="47"/>
  <c r="I85" i="47"/>
  <c r="F62" i="47"/>
  <c r="I78" i="47"/>
  <c r="G69" i="47"/>
  <c r="K86" i="47"/>
  <c r="J30" i="47"/>
  <c r="J29" i="47"/>
  <c r="J55" i="47"/>
  <c r="E95" i="47"/>
  <c r="D32" i="47"/>
  <c r="I32" i="47"/>
  <c r="D39" i="47"/>
  <c r="D85" i="47"/>
  <c r="J77" i="47"/>
  <c r="J54" i="47"/>
  <c r="K54" i="47"/>
  <c r="E78" i="47"/>
  <c r="K30" i="47"/>
  <c r="K94" i="47"/>
  <c r="F30" i="47"/>
  <c r="I37" i="47"/>
  <c r="J94" i="47"/>
  <c r="K69" i="47"/>
  <c r="D86" i="47"/>
  <c r="G85" i="47"/>
  <c r="D72" i="47"/>
  <c r="I61" i="47"/>
  <c r="D46" i="47"/>
  <c r="I79" i="47"/>
  <c r="L37" i="47"/>
  <c r="D67" i="47"/>
  <c r="G159" i="47"/>
  <c r="G138" i="47"/>
  <c r="E233" i="47"/>
  <c r="H55" i="47"/>
  <c r="I75" i="47"/>
  <c r="E229" i="47"/>
  <c r="D98" i="47"/>
  <c r="J42" i="47"/>
  <c r="H79" i="47"/>
  <c r="D97" i="47"/>
  <c r="D76" i="47"/>
  <c r="I36" i="47"/>
  <c r="M38" i="47"/>
  <c r="E246" i="47"/>
  <c r="K82" i="47"/>
  <c r="N45" i="47"/>
  <c r="N30" i="47"/>
  <c r="G172" i="47"/>
  <c r="F47" i="47"/>
  <c r="G48" i="47"/>
  <c r="G125" i="47"/>
  <c r="H40" i="47"/>
  <c r="F32" i="47"/>
  <c r="I65" i="47"/>
  <c r="M95" i="47"/>
  <c r="I81" i="47"/>
  <c r="G161" i="47"/>
  <c r="K49" i="47"/>
  <c r="I49" i="47"/>
  <c r="I34" i="47"/>
  <c r="D91" i="47"/>
  <c r="G121" i="47"/>
  <c r="G102" i="47"/>
  <c r="F41" i="47"/>
  <c r="F34" i="47"/>
  <c r="E83" i="47"/>
  <c r="N61" i="47"/>
  <c r="L40" i="47"/>
  <c r="G105" i="47"/>
  <c r="E67" i="47"/>
  <c r="I27" i="47"/>
  <c r="N56" i="47"/>
  <c r="L87" i="47"/>
  <c r="G114" i="47"/>
  <c r="N22" i="47"/>
  <c r="I25" i="47"/>
  <c r="G166" i="47"/>
  <c r="G146" i="47"/>
  <c r="G47" i="47"/>
  <c r="G38" i="47"/>
  <c r="L89" i="47"/>
  <c r="D57" i="47"/>
  <c r="G39" i="47"/>
  <c r="N23" i="47"/>
  <c r="N29" i="47"/>
  <c r="G87" i="47"/>
  <c r="E232" i="47"/>
  <c r="M93" i="47"/>
  <c r="G160" i="47"/>
  <c r="G103" i="47"/>
  <c r="L57" i="47"/>
  <c r="J82" i="47"/>
  <c r="G154" i="47"/>
  <c r="L49" i="47"/>
  <c r="L54" i="47"/>
  <c r="G143" i="47"/>
  <c r="H45" i="47"/>
  <c r="M21" i="47"/>
  <c r="E72" i="47"/>
  <c r="J81" i="47"/>
  <c r="E213" i="47"/>
  <c r="E238" i="47"/>
  <c r="G88" i="47"/>
  <c r="I43" i="47"/>
  <c r="M79" i="47"/>
  <c r="J40" i="47"/>
  <c r="K79" i="47"/>
  <c r="G77" i="47"/>
  <c r="J93" i="47"/>
  <c r="J37" i="47"/>
  <c r="I64" i="47"/>
  <c r="D70" i="47"/>
  <c r="K38" i="47"/>
  <c r="E37" i="47"/>
  <c r="G45" i="47"/>
  <c r="I88" i="47"/>
  <c r="F70" i="47"/>
  <c r="E61" i="47"/>
  <c r="I71" i="47"/>
  <c r="I29" i="47"/>
  <c r="K61" i="47"/>
  <c r="E79" i="47"/>
  <c r="F77" i="47"/>
  <c r="F85" i="47"/>
  <c r="D30" i="47"/>
  <c r="I63" i="47"/>
  <c r="I96" i="47"/>
  <c r="D38" i="47"/>
  <c r="J38" i="47"/>
  <c r="K62" i="47"/>
  <c r="D55" i="47"/>
  <c r="D48" i="47"/>
  <c r="K93" i="47"/>
  <c r="K29" i="47"/>
  <c r="E62" i="47"/>
  <c r="I62" i="47"/>
  <c r="D94" i="47"/>
  <c r="I31" i="47"/>
  <c r="I30" i="47"/>
  <c r="D69" i="47"/>
  <c r="I54" i="47"/>
  <c r="E30" i="47"/>
  <c r="J78" i="47"/>
  <c r="D37" i="47"/>
  <c r="I95" i="47"/>
  <c r="F46" i="47"/>
  <c r="I56" i="47"/>
  <c r="H48" i="47"/>
  <c r="E230" i="47"/>
  <c r="I52" i="47"/>
  <c r="G94" i="47"/>
  <c r="I91" i="47"/>
  <c r="N78" i="47"/>
  <c r="M80" i="47"/>
  <c r="G139" i="47"/>
  <c r="E48" i="47"/>
  <c r="F90" i="47"/>
  <c r="E64" i="47"/>
  <c r="F24" i="47"/>
  <c r="E90" i="47"/>
  <c r="E58" i="47"/>
  <c r="K89" i="47"/>
  <c r="E224" i="47"/>
  <c r="G169" i="47"/>
  <c r="K63" i="47"/>
  <c r="K34" i="47"/>
  <c r="L70" i="47"/>
  <c r="E225" i="47"/>
  <c r="E242" i="47"/>
  <c r="F66" i="47"/>
  <c r="F64" i="47"/>
  <c r="E212" i="47"/>
  <c r="I26" i="47"/>
  <c r="I89" i="47"/>
  <c r="L96" i="47"/>
  <c r="J74" i="47"/>
  <c r="D65" i="47"/>
  <c r="F81" i="47"/>
  <c r="K48" i="47"/>
  <c r="N87" i="47"/>
  <c r="J59" i="47"/>
  <c r="G107" i="47"/>
  <c r="J27" i="47"/>
  <c r="F39" i="47"/>
  <c r="G32" i="47"/>
  <c r="E237" i="47"/>
  <c r="E216" i="47"/>
  <c r="K24" i="47"/>
  <c r="K55" i="47"/>
  <c r="I59" i="47"/>
  <c r="D59" i="47"/>
  <c r="G108" i="47"/>
  <c r="E235" i="47"/>
  <c r="M77" i="47"/>
  <c r="F31" i="47"/>
  <c r="F96" i="47"/>
  <c r="F82" i="47"/>
  <c r="G24" i="47"/>
  <c r="G79" i="47"/>
  <c r="J99" i="47"/>
  <c r="N79" i="47"/>
  <c r="G156" i="47"/>
  <c r="M85" i="47"/>
  <c r="I99" i="47"/>
  <c r="D90" i="47"/>
  <c r="K32" i="47"/>
  <c r="H78" i="47"/>
  <c r="G136" i="47"/>
  <c r="K57" i="47"/>
  <c r="K65" i="47"/>
  <c r="H39" i="47"/>
  <c r="G57" i="47"/>
  <c r="M71" i="47"/>
  <c r="L25" i="47"/>
  <c r="D49" i="47"/>
  <c r="G106" i="47"/>
  <c r="D28" i="47"/>
  <c r="K97" i="47"/>
  <c r="G55" i="47"/>
  <c r="D25" i="47"/>
  <c r="K26" i="47"/>
  <c r="I50" i="47"/>
  <c r="H61" i="47"/>
  <c r="J57" i="47"/>
  <c r="E24" i="47"/>
  <c r="G148" i="47"/>
  <c r="E77" i="47"/>
  <c r="I94" i="47"/>
  <c r="D71" i="47"/>
  <c r="J69" i="47"/>
  <c r="I45" i="47"/>
  <c r="F69" i="47"/>
  <c r="L77" i="47"/>
  <c r="F61" i="47"/>
  <c r="L93" i="47"/>
  <c r="J45" i="47"/>
  <c r="E53" i="47"/>
  <c r="D87" i="47"/>
  <c r="L53" i="47"/>
  <c r="I93" i="47"/>
  <c r="K77" i="47"/>
  <c r="E94" i="47"/>
  <c r="D63" i="47"/>
  <c r="J31" i="47"/>
  <c r="D64" i="47"/>
  <c r="E29" i="47"/>
  <c r="E46" i="47"/>
  <c r="F38" i="47"/>
  <c r="J47" i="47"/>
  <c r="L45" i="47"/>
  <c r="G37" i="47"/>
  <c r="E54" i="47"/>
  <c r="E71" i="47"/>
  <c r="G29" i="47"/>
  <c r="D47" i="47"/>
  <c r="E39" i="47"/>
  <c r="D79" i="47"/>
  <c r="J79" i="47"/>
  <c r="I38" i="47"/>
  <c r="E70" i="47"/>
  <c r="J70" i="47"/>
  <c r="K45" i="47"/>
  <c r="J85" i="47"/>
  <c r="D96" i="47"/>
  <c r="G61" i="47"/>
  <c r="F86" i="47"/>
  <c r="L24" i="47"/>
  <c r="K47" i="47"/>
  <c r="K40" i="47"/>
  <c r="G33" i="47"/>
  <c r="D66" i="47"/>
  <c r="L33" i="47"/>
  <c r="M23" i="47"/>
  <c r="L47" i="47"/>
  <c r="D36" i="47"/>
  <c r="G150" i="47"/>
  <c r="N21" i="47"/>
  <c r="M72" i="47"/>
  <c r="E50" i="47"/>
  <c r="G141" i="47"/>
  <c r="I67" i="47"/>
  <c r="F97" i="47"/>
  <c r="F23" i="47"/>
  <c r="J75" i="47"/>
  <c r="E219" i="47"/>
  <c r="E211" i="47"/>
  <c r="E97" i="47"/>
  <c r="J66" i="47"/>
  <c r="F25" i="47"/>
  <c r="G56" i="47"/>
  <c r="L38" i="47"/>
  <c r="G158" i="47"/>
  <c r="I66" i="47"/>
  <c r="H38" i="47"/>
  <c r="F71" i="47"/>
  <c r="N31" i="47"/>
  <c r="H69" i="47"/>
  <c r="D74" i="47"/>
  <c r="N55" i="47"/>
  <c r="F79" i="47"/>
  <c r="G132" i="47"/>
  <c r="I57" i="47"/>
  <c r="M55" i="47"/>
  <c r="K90" i="47"/>
  <c r="G173" i="47"/>
  <c r="M88" i="47"/>
  <c r="L30" i="47"/>
  <c r="N95" i="47"/>
  <c r="H62" i="47"/>
  <c r="L79" i="47"/>
  <c r="I42" i="47"/>
  <c r="F58" i="47"/>
  <c r="E87" i="47"/>
  <c r="J95" i="47"/>
  <c r="D77" i="47"/>
  <c r="I70" i="47"/>
  <c r="E31" i="47"/>
  <c r="D93" i="47"/>
  <c r="J62" i="47"/>
  <c r="F94" i="47"/>
  <c r="K37" i="47"/>
  <c r="G123" i="47"/>
  <c r="I90" i="47"/>
  <c r="H94" i="47"/>
  <c r="E25" i="47"/>
  <c r="H53" i="47"/>
  <c r="I92" i="47"/>
  <c r="D26" i="47"/>
  <c r="M78" i="47"/>
  <c r="J58" i="47"/>
  <c r="G111" i="47"/>
  <c r="G170" i="47"/>
  <c r="L85" i="47"/>
  <c r="E63" i="47"/>
  <c r="D61" i="47"/>
  <c r="K78" i="47"/>
  <c r="J53" i="47"/>
  <c r="I46" i="47"/>
  <c r="I72" i="47"/>
  <c r="F93" i="47"/>
  <c r="K85" i="47"/>
  <c r="I77" i="47"/>
  <c r="D78" i="47"/>
  <c r="J61" i="47"/>
  <c r="K41" i="47"/>
  <c r="K71" i="47"/>
  <c r="E57" i="47"/>
  <c r="J32" i="47"/>
  <c r="H31" i="47"/>
  <c r="K56" i="47"/>
  <c r="M39" i="47"/>
  <c r="G64" i="47"/>
  <c r="H46" i="47"/>
  <c r="L73" i="47"/>
  <c r="F48" i="47"/>
  <c r="F53" i="47"/>
  <c r="E55" i="47"/>
  <c r="J39" i="47"/>
  <c r="I80" i="47"/>
  <c r="J86" i="47"/>
  <c r="L29" i="47"/>
  <c r="F37" i="47"/>
  <c r="I48" i="47"/>
  <c r="J33" i="47"/>
  <c r="J50" i="47"/>
  <c r="L32" i="47"/>
  <c r="E215" i="47"/>
  <c r="G23" i="47"/>
  <c r="M70" i="47"/>
  <c r="F40" i="47"/>
  <c r="G116" i="47"/>
  <c r="G81" i="47"/>
  <c r="J98" i="47"/>
  <c r="L78" i="47"/>
  <c r="E47" i="47"/>
  <c r="D45" i="47"/>
  <c r="E69" i="47"/>
  <c r="J71" i="47"/>
  <c r="E86" i="47"/>
  <c r="G53" i="47"/>
  <c r="F78" i="47"/>
  <c r="D62" i="47"/>
  <c r="D54" i="47"/>
  <c r="F45" i="47"/>
  <c r="G208" i="47" l="1"/>
  <c r="G188" i="47"/>
  <c r="G174" i="47"/>
  <c r="G200" i="47"/>
  <c r="G204" i="47"/>
  <c r="G199" i="47"/>
  <c r="G176" i="47"/>
  <c r="G175" i="47"/>
  <c r="G189" i="47"/>
  <c r="G190" i="47"/>
  <c r="G182" i="47"/>
  <c r="G197" i="47"/>
  <c r="G186" i="47"/>
  <c r="G184" i="47"/>
  <c r="G205" i="47"/>
  <c r="G198" i="47"/>
  <c r="G209" i="47"/>
  <c r="G177" i="47"/>
  <c r="G192" i="47"/>
  <c r="G187" i="47"/>
  <c r="G206" i="47"/>
  <c r="G203" i="47"/>
  <c r="G207" i="47"/>
  <c r="G195" i="47"/>
  <c r="G181" i="47"/>
  <c r="G180" i="47"/>
  <c r="G191" i="47"/>
  <c r="G193" i="47"/>
  <c r="G194" i="47"/>
  <c r="G201" i="47"/>
  <c r="G185" i="47"/>
  <c r="G179" i="47"/>
  <c r="G196" i="47"/>
  <c r="G183" i="47"/>
  <c r="G178" i="47"/>
  <c r="G202" i="47"/>
  <c r="D8" i="44"/>
  <c r="Y10" i="46"/>
  <c r="L11" i="44" s="1"/>
  <c r="Y9" i="46"/>
  <c r="K11" i="44" s="1"/>
  <c r="Y8" i="46"/>
  <c r="J11" i="44" s="1"/>
  <c r="Y7" i="46"/>
  <c r="I11" i="44" s="1"/>
  <c r="Y6" i="46"/>
  <c r="H11" i="44" s="1"/>
  <c r="Y5" i="46"/>
  <c r="G11" i="44" s="1"/>
  <c r="Y4" i="46"/>
  <c r="F11" i="44" s="1"/>
  <c r="Y3" i="46"/>
  <c r="E11" i="44" s="1"/>
  <c r="X10" i="46"/>
  <c r="C40" i="44" s="1"/>
  <c r="X9" i="46"/>
  <c r="C36" i="44" s="1"/>
  <c r="X8" i="46"/>
  <c r="C32" i="44" s="1"/>
  <c r="X7" i="46"/>
  <c r="C28" i="44" s="1"/>
  <c r="X6" i="46"/>
  <c r="C24" i="44" s="1"/>
  <c r="X5" i="46"/>
  <c r="C20" i="44" s="1"/>
  <c r="X4" i="46"/>
  <c r="C16" i="44" s="1"/>
  <c r="X3" i="46"/>
  <c r="C12" i="44" s="1"/>
  <c r="W10" i="46"/>
  <c r="A40" i="44" s="1"/>
  <c r="W9" i="46"/>
  <c r="A36" i="44" s="1"/>
  <c r="W8" i="46"/>
  <c r="A32" i="44" s="1"/>
  <c r="W7" i="46"/>
  <c r="A28" i="44" s="1"/>
  <c r="W6" i="46"/>
  <c r="A24" i="44" s="1"/>
  <c r="W5" i="46"/>
  <c r="A20" i="44" s="1"/>
  <c r="W4" i="46"/>
  <c r="A16" i="44" s="1"/>
  <c r="W3" i="46"/>
  <c r="A12" i="44" s="1"/>
  <c r="H21" i="44" l="1"/>
  <c r="H22" i="44"/>
  <c r="G18" i="44"/>
  <c r="H18" i="44"/>
  <c r="H17" i="44"/>
  <c r="G17" i="44"/>
  <c r="I27" i="44"/>
  <c r="G13" i="44"/>
  <c r="F13" i="44"/>
  <c r="G14" i="44"/>
  <c r="F14" i="44"/>
  <c r="G22" i="44"/>
  <c r="H26" i="44"/>
  <c r="F18" i="44"/>
  <c r="E14" i="44"/>
  <c r="H14" i="44"/>
  <c r="G21" i="44"/>
  <c r="H25" i="44"/>
  <c r="H13" i="44"/>
  <c r="F17" i="44"/>
  <c r="E13" i="44"/>
  <c r="H8" i="44"/>
  <c r="E21" i="47"/>
  <c r="I24" i="47"/>
  <c r="K22" i="47"/>
  <c r="J21" i="47"/>
  <c r="F21" i="47"/>
  <c r="G21" i="47"/>
  <c r="L21" i="47"/>
  <c r="J23" i="47"/>
  <c r="E23" i="47"/>
  <c r="I22" i="47"/>
  <c r="D23" i="47"/>
  <c r="I23" i="47"/>
  <c r="J22" i="47"/>
  <c r="K21" i="47"/>
  <c r="F22" i="47"/>
  <c r="D21" i="47"/>
  <c r="D24" i="47"/>
  <c r="D22" i="47"/>
  <c r="I21" i="47"/>
  <c r="E22" i="47"/>
  <c r="G15" i="44" l="1"/>
  <c r="H15" i="44"/>
  <c r="F15" i="44"/>
  <c r="G23" i="44"/>
  <c r="E15" i="44"/>
  <c r="G19" i="44"/>
  <c r="H23" i="44"/>
  <c r="F19" i="44"/>
  <c r="H19" i="44"/>
  <c r="H27" i="44"/>
  <c r="B8" i="47" l="1"/>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alcChain>
</file>

<file path=xl/sharedStrings.xml><?xml version="1.0" encoding="utf-8"?>
<sst xmlns="http://schemas.openxmlformats.org/spreadsheetml/2006/main" count="9905" uniqueCount="235">
  <si>
    <t xml:space="preserve">County: </t>
  </si>
  <si>
    <t xml:space="preserve">Version #: </t>
  </si>
  <si>
    <t>Alachua</t>
  </si>
  <si>
    <t xml:space="preserve"> </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</si>
  <si>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</si>
  <si>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</si>
  <si>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</si>
  <si>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</si>
  <si>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</si>
  <si>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</si>
  <si>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</si>
  <si>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</si>
  <si>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</si>
  <si>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</si>
  <si>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</si>
  <si>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</si>
  <si>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</si>
  <si>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</si>
  <si>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</si>
  <si>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</si>
  <si>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</si>
  <si>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</si>
  <si>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</si>
  <si>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</si>
  <si>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</si>
  <si>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</si>
  <si>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</si>
  <si>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</si>
  <si>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</si>
  <si>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</si>
  <si>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</si>
  <si>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</si>
  <si>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</si>
  <si>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</si>
  <si>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</si>
  <si>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</si>
  <si>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</si>
  <si>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</si>
  <si>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</si>
  <si>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</si>
  <si>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</si>
  <si>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</si>
  <si>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</si>
  <si>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</si>
  <si>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</si>
  <si>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</si>
  <si>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</si>
  <si>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</si>
  <si>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</si>
  <si>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</si>
  <si>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</si>
  <si>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</si>
  <si>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</si>
  <si>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</si>
  <si>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</si>
  <si>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</si>
  <si>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</si>
  <si>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</si>
  <si>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</si>
  <si>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</si>
  <si>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</si>
  <si>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</si>
  <si>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</si>
  <si>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</si>
  <si>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</si>
  <si>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</si>
  <si>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</si>
  <si>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</si>
  <si>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</si>
  <si>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</si>
  <si>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</si>
  <si>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</si>
  <si>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</si>
  <si>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County Fiscal Year 2017/2018</t>
  </si>
  <si>
    <t>OrganizationID</t>
  </si>
  <si>
    <t>OrganizationTypeID</t>
  </si>
  <si>
    <t>OrgName1</t>
  </si>
  <si>
    <t>OrgName2</t>
  </si>
  <si>
    <t>OrgName3</t>
  </si>
  <si>
    <t>Miami-Dade</t>
  </si>
  <si>
    <t>St Johns</t>
  </si>
  <si>
    <t>Saint Johns</t>
  </si>
  <si>
    <t>St Lucie</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</si>
  <si>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</si>
  <si>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</si>
  <si>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</si>
  <si>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</si>
  <si>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</si>
  <si>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</si>
  <si>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</si>
  <si>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</si>
  <si>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</si>
  <si>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</si>
  <si>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</si>
  <si>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</si>
  <si>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</si>
  <si>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</si>
  <si>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</si>
  <si>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</si>
  <si>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</si>
  <si>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</si>
  <si>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</si>
  <si>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</si>
  <si>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</si>
  <si>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</si>
  <si>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</si>
  <si>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</si>
  <si>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</si>
  <si>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</si>
  <si>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</si>
  <si>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</si>
  <si>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</si>
  <si>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</si>
  <si>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</si>
  <si>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</si>
  <si>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</si>
  <si>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</si>
  <si>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</si>
  <si>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</si>
  <si>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</si>
  <si>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</si>
  <si>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</si>
  <si>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</si>
  <si>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</si>
  <si>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</si>
  <si>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</si>
  <si>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</si>
  <si>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</si>
  <si>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</si>
  <si>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</si>
  <si>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</si>
  <si>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</si>
  <si>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</si>
  <si>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</si>
  <si>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</si>
  <si>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</si>
  <si>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</si>
  <si>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</si>
  <si>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</si>
  <si>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</si>
  <si>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</si>
  <si>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</si>
  <si>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</si>
  <si>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</si>
  <si>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</si>
  <si>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</si>
  <si>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</si>
  <si>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</si>
  <si>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</si>
  <si>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</si>
  <si>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</si>
  <si>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</si>
  <si>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</si>
  <si>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</si>
  <si>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</si>
  <si>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</si>
  <si>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</si>
  <si>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</si>
  <si>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CCOC Form Version 1
Created 01/9/18</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</si>
  <si>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</si>
  <si>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</si>
  <si>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</si>
  <si>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</si>
  <si>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</si>
  <si>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</si>
  <si>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</si>
  <si>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</si>
  <si>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</si>
  <si>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</si>
  <si>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</si>
  <si>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</si>
  <si>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</si>
  <si>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</si>
  <si>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 xml:space="preserve">1.) </t>
    </r>
    <r>
      <rPr>
        <b/>
        <sz val="11"/>
        <rFont val="Franklin Gothic Book"/>
        <family val="2"/>
        <scheme val="minor"/>
      </rPr>
      <t>Action Plan:</t>
    </r>
    <r>
      <rPr>
        <sz val="11"/>
        <rFont val="Franklin Gothic Book"/>
        <family val="2"/>
        <scheme val="minor"/>
      </rPr>
      <t xml:space="preserve"> If the 5th quarter Collection Rate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"Current Action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</si>
  <si>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not consistant with the Collection Report Business Rules.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</si>
  <si>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</si>
  <si>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</si>
  <si>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</si>
  <si>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r>
      <rPr>
        <u/>
        <sz val="9"/>
        <rFont val="Franklin Gothic Demi"/>
        <family val="2"/>
        <scheme val="major"/>
      </rPr>
      <t>10/01/17 - 12/31/17</t>
    </r>
    <r>
      <rPr>
        <sz val="10"/>
        <rFont val="Franklin Gothic Demi"/>
        <family val="2"/>
        <scheme val="major"/>
      </rPr>
      <t>:</t>
    </r>
    <r>
      <rPr>
        <sz val="11"/>
        <rFont val="Franklin Gothic Demi"/>
        <family val="2"/>
        <scheme val="major"/>
      </rPr>
      <t xml:space="preserve"> </t>
    </r>
  </si>
  <si>
    <r>
      <rPr>
        <u/>
        <sz val="9"/>
        <rFont val="Franklin Gothic Demi"/>
        <family val="2"/>
        <scheme val="major"/>
      </rPr>
      <t>01/01/18 - 03/31/18</t>
    </r>
    <r>
      <rPr>
        <sz val="10"/>
        <rFont val="Franklin Gothic Demi"/>
        <family val="2"/>
        <scheme val="major"/>
      </rPr>
      <t xml:space="preserve">: </t>
    </r>
  </si>
  <si>
    <r>
      <rPr>
        <u/>
        <sz val="9"/>
        <rFont val="Franklin Gothic Demi"/>
        <family val="2"/>
        <scheme val="major"/>
      </rPr>
      <t>04/01/18 - 06/30/18</t>
    </r>
    <r>
      <rPr>
        <sz val="10"/>
        <rFont val="Franklin Gothic Demi"/>
        <family val="2"/>
        <scheme val="major"/>
      </rPr>
      <t xml:space="preserve">: </t>
    </r>
  </si>
  <si>
    <r>
      <rPr>
        <u/>
        <sz val="9"/>
        <rFont val="Franklin Gothic Demi"/>
        <family val="2"/>
        <scheme val="major"/>
      </rPr>
      <t>07/01/18- 09/30/18</t>
    </r>
    <r>
      <rPr>
        <sz val="10"/>
        <rFont val="Franklin Gothic Demi"/>
        <family val="2"/>
        <scheme val="maj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</si>
  <si>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</si>
  <si>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</si>
  <si>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</si>
  <si>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</si>
  <si>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</si>
  <si>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</si>
  <si>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</si>
  <si>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</si>
  <si>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</si>
  <si>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</si>
  <si>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</si>
  <si>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</si>
  <si>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</si>
  <si>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CGE CQ1-18</t>
  </si>
  <si>
    <t>CGE CQ2-18</t>
  </si>
  <si>
    <t>CGE CQ3-18</t>
  </si>
  <si>
    <t>CGE CQ4-18</t>
  </si>
  <si>
    <t>27883-100</t>
  </si>
  <si>
    <t>Note: The Collection and Amount Assessed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</si>
  <si>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No Corrective Action Plan Needed as this is a subset of the Circuit Criminal performance measure.</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</si>
  <si>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</si>
  <si>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</si>
  <si>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</si>
  <si>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</si>
  <si>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</si>
  <si>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</si>
  <si>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</si>
  <si>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</si>
  <si>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CGE CQ1-19</t>
  </si>
  <si>
    <t>CGE CQ2-19</t>
  </si>
  <si>
    <t>CGE CQ3-19</t>
  </si>
  <si>
    <t>CGE CQ4-19</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</si>
  <si>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</si>
  <si>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</si>
  <si>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</si>
  <si>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</si>
  <si>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</si>
  <si>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</si>
  <si>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</si>
  <si>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</si>
  <si>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</si>
  <si>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</si>
  <si>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</si>
  <si>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</si>
  <si>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</si>
  <si>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</si>
  <si>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</si>
  <si>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</si>
  <si>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t>Michelle Levar</t>
  </si>
  <si>
    <t>michelle.levar</t>
  </si>
  <si>
    <t>Staffing has improved</t>
  </si>
  <si>
    <t>The standard wa not met despite pursuit of all collection efforts within the control of the Clerk.  Expected improvement by 5-1-18</t>
  </si>
  <si>
    <t>The Standard was not met despite pursuit of all collection efforts within the control of the Clerk. Expected improvement by 5-1-18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</si>
</sst>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5"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0"/>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10"/>
      <name val="Arial"/>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u/>
      <sz val="9"/>
      <name val="Franklin Gothic Demi"/>
      <family val="2"/>
      <scheme val="major"/>
    </font>
    <font>
      <sz val="11"/>
      <color theme="4"/>
      <name val="Franklin Gothic Demi"/>
      <family val="2"/>
      <scheme val="major"/>
    </font>
    <font>
      <sz val="16"/>
      <color theme="4"/>
      <name val="Franklin Gothic Demi"/>
      <family val="2"/>
      <scheme val="major"/>
    </font>
    <font>
      <sz val="12"/>
      <color theme="0"/>
      <name val="Franklin Gothic Demi"/>
      <family val="2"/>
      <scheme val="major"/>
    </font>
    <font>
      <sz val="11"/>
      <color rgb="FF222222"/>
      <name val="Courier New"/>
      <family val="3"/>
    </font>
  </fonts>
  <fills count="1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s>
  <cellStyleXfs count="52">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1" fillId="6" borderId="22">
      <alignment vertical="center"/>
    </xf>
    <xf numFmtId="0" fontId="20" fillId="7" borderId="23">
      <alignment horizontal="center" vertical="center"/>
      <protection locked="0"/>
    </xf>
    <xf numFmtId="0" fontId="20" fillId="8" borderId="23">
      <alignment horizontal="center" vertical="center"/>
      <protection locked="0"/>
    </xf>
    <xf numFmtId="44" fontId="26" fillId="9" borderId="24">
      <alignment vertical="center"/>
      <protection locked="0"/>
    </xf>
    <xf numFmtId="44" fontId="20" fillId="9" borderId="25" applyBorder="0">
      <alignment vertical="center"/>
      <protection locked="0"/>
    </xf>
    <xf numFmtId="44" fontId="20" fillId="8" borderId="27" applyBorder="0">
      <alignment vertical="center"/>
      <protection locked="0"/>
    </xf>
    <xf numFmtId="44" fontId="20" fillId="7" borderId="28" applyBorder="0">
      <alignment vertical="center"/>
      <protection locked="0"/>
    </xf>
    <xf numFmtId="44" fontId="20" fillId="7" borderId="29" applyBorder="0">
      <alignment vertical="center"/>
      <protection locked="0"/>
    </xf>
    <xf numFmtId="44" fontId="26" fillId="8" borderId="9" applyBorder="0">
      <alignment vertical="top"/>
      <protection locked="0"/>
    </xf>
    <xf numFmtId="9" fontId="34" fillId="0" borderId="0" applyFont="0" applyFill="0" applyBorder="0" applyAlignment="0" applyProtection="0"/>
    <xf numFmtId="0" fontId="17" fillId="0" borderId="0"/>
  </cellStyleXfs>
  <cellXfs count="207">
    <xf numFmtId="0" fontId="0" fillId="0" borderId="0" xfId="0"/>
    <xf numFmtId="0" fontId="0" fillId="0" borderId="0" xfId="0" applyProtection="1"/>
    <xf numFmtId="0" fontId="23" fillId="0" borderId="0" xfId="0" applyFont="1"/>
    <xf numFmtId="0" fontId="24" fillId="4" borderId="0" xfId="0" applyFont="1" applyFill="1"/>
    <xf numFmtId="0" fontId="24" fillId="4" borderId="0" xfId="0" applyFont="1" applyFill="1" applyAlignment="1">
      <alignment wrapText="1"/>
    </xf>
    <xf numFmtId="0" fontId="24" fillId="4"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4" borderId="1" xfId="0" applyFont="1" applyFill="1" applyBorder="1"/>
    <xf numFmtId="0" fontId="24" fillId="4" borderId="2" xfId="0" applyFont="1" applyFill="1" applyBorder="1"/>
    <xf numFmtId="0" fontId="24" fillId="4" borderId="7" xfId="0" applyFont="1" applyFill="1" applyBorder="1"/>
    <xf numFmtId="0" fontId="23" fillId="0" borderId="0" xfId="0" quotePrefix="1" applyFont="1"/>
    <xf numFmtId="14" fontId="23" fillId="5" borderId="0" xfId="0" applyNumberFormat="1" applyFont="1" applyFill="1" applyProtection="1">
      <protection locked="0"/>
    </xf>
    <xf numFmtId="0" fontId="23" fillId="5" borderId="0" xfId="0" applyFont="1" applyFill="1" applyProtection="1">
      <protection locked="0"/>
    </xf>
    <xf numFmtId="17" fontId="32" fillId="10" borderId="14" xfId="0" applyNumberFormat="1" applyFont="1" applyFill="1" applyBorder="1" applyAlignment="1" applyProtection="1">
      <alignment horizontal="center" vertical="center"/>
    </xf>
    <xf numFmtId="17" fontId="32" fillId="10" borderId="15" xfId="0" applyNumberFormat="1" applyFont="1" applyFill="1" applyBorder="1" applyAlignment="1" applyProtection="1">
      <alignment horizontal="center" vertical="center"/>
    </xf>
    <xf numFmtId="0" fontId="29" fillId="0" borderId="0" xfId="0" applyFont="1" applyAlignment="1" applyProtection="1">
      <alignment vertical="center"/>
    </xf>
    <xf numFmtId="165" fontId="31" fillId="11" borderId="22" xfId="41" applyFill="1" applyProtection="1">
      <alignment vertical="center"/>
    </xf>
    <xf numFmtId="44" fontId="20" fillId="9" borderId="26" xfId="44" applyFont="1" applyBorder="1" applyProtection="1">
      <alignment vertical="center"/>
      <protection locked="0"/>
    </xf>
    <xf numFmtId="0" fontId="33" fillId="0" borderId="0" xfId="0" applyFont="1" applyAlignment="1" applyProtection="1">
      <alignment vertical="center"/>
    </xf>
    <xf numFmtId="0" fontId="20" fillId="7" borderId="23"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9" fontId="31" fillId="11" borderId="22" xfId="50" applyFont="1" applyFill="1" applyBorder="1" applyAlignment="1" applyProtection="1">
      <alignment vertical="center"/>
    </xf>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8" borderId="31" xfId="46" applyBorder="1" applyProtection="1">
      <alignment vertical="center"/>
      <protection locked="0"/>
    </xf>
    <xf numFmtId="44" fontId="20" fillId="8" borderId="32"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9" borderId="33" xfId="44" applyFont="1" applyBorder="1" applyProtection="1">
      <alignment vertical="center"/>
      <protection locked="0"/>
    </xf>
    <xf numFmtId="44" fontId="20" fillId="9" borderId="34" xfId="44" applyFont="1" applyBorder="1" applyProtection="1">
      <alignment vertical="center"/>
      <protection locked="0"/>
    </xf>
    <xf numFmtId="44" fontId="20" fillId="8" borderId="35"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9" borderId="39" xfId="44" applyFont="1" applyBorder="1" applyProtection="1">
      <alignment vertical="center"/>
      <protection locked="0"/>
    </xf>
    <xf numFmtId="44" fontId="20" fillId="8" borderId="40" xfId="46" applyBorder="1" applyProtection="1">
      <alignment vertical="center"/>
      <protection locked="0"/>
    </xf>
    <xf numFmtId="44" fontId="20" fillId="9" borderId="42" xfId="44" applyFont="1" applyBorder="1" applyProtection="1">
      <alignment vertical="center"/>
      <protection locked="0"/>
    </xf>
    <xf numFmtId="44" fontId="20" fillId="8" borderId="43"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30" xfId="0" applyNumberFormat="1" applyFont="1" applyFill="1" applyBorder="1" applyAlignment="1" applyProtection="1">
      <alignment horizontal="center" vertical="center"/>
    </xf>
    <xf numFmtId="44" fontId="20" fillId="13" borderId="33" xfId="44" applyFont="1" applyFill="1" applyBorder="1" applyProtection="1">
      <alignment vertical="center"/>
      <protection locked="0"/>
    </xf>
    <xf numFmtId="44" fontId="20" fillId="13" borderId="26" xfId="44" applyFont="1" applyFill="1" applyBorder="1" applyProtection="1">
      <alignment vertical="center"/>
      <protection locked="0"/>
    </xf>
    <xf numFmtId="44" fontId="20" fillId="14" borderId="31" xfId="46" applyFill="1" applyBorder="1" applyProtection="1">
      <alignment vertical="center"/>
      <protection locked="0"/>
    </xf>
    <xf numFmtId="44" fontId="20" fillId="14" borderId="32"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9" borderId="61" xfId="44" applyFont="1" applyBorder="1" applyProtection="1">
      <alignment vertical="center"/>
      <protection locked="0"/>
    </xf>
    <xf numFmtId="44" fontId="20" fillId="8" borderId="62" xfId="46" applyBorder="1" applyProtection="1">
      <alignment vertical="center"/>
      <protection locked="0"/>
    </xf>
    <xf numFmtId="0" fontId="27" fillId="0" borderId="54" xfId="0" applyFont="1" applyBorder="1" applyAlignment="1" applyProtection="1">
      <alignment horizontal="center" vertical="center" wrapText="1"/>
    </xf>
    <xf numFmtId="0" fontId="27" fillId="0" borderId="63" xfId="0" applyFont="1" applyBorder="1" applyAlignment="1" applyProtection="1">
      <alignment horizontal="center" vertical="center" wrapText="1"/>
    </xf>
    <xf numFmtId="0" fontId="27" fillId="15" borderId="14" xfId="0" applyFont="1" applyFill="1" applyBorder="1" applyAlignment="1" applyProtection="1">
      <alignment horizontal="right" vertical="center"/>
    </xf>
    <xf numFmtId="0" fontId="24" fillId="4" borderId="0" xfId="5" applyFont="1" applyFill="1"/>
    <xf numFmtId="0" fontId="23" fillId="0" borderId="0" xfId="5" applyFont="1"/>
    <xf numFmtId="0" fontId="27" fillId="15" borderId="13" xfId="0" applyFont="1" applyFill="1" applyBorder="1" applyAlignment="1" applyProtection="1">
      <alignment horizontal="right" vertical="center"/>
    </xf>
    <xf numFmtId="0" fontId="38" fillId="0" borderId="0" xfId="0" applyFont="1" applyBorder="1" applyAlignment="1" applyProtection="1">
      <alignment horizontal="center" vertical="center"/>
    </xf>
    <xf numFmtId="0" fontId="20" fillId="0" borderId="0" xfId="0" applyFont="1" applyBorder="1" applyProtection="1"/>
    <xf numFmtId="0" fontId="39" fillId="0" borderId="0" xfId="0" applyFont="1" applyProtection="1"/>
    <xf numFmtId="0" fontId="36" fillId="0" borderId="0" xfId="0" applyFont="1" applyProtection="1"/>
    <xf numFmtId="10" fontId="20" fillId="0" borderId="51"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44"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38"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10" fontId="20" fillId="0" borderId="53" xfId="50" applyNumberFormat="1" applyFont="1" applyFill="1" applyBorder="1" applyAlignment="1" applyProtection="1">
      <alignment vertical="center"/>
    </xf>
    <xf numFmtId="0" fontId="20" fillId="16" borderId="23" xfId="42" applyFill="1" applyProtection="1">
      <alignment horizontal="center" vertical="center"/>
    </xf>
    <xf numFmtId="9" fontId="32" fillId="2" borderId="0" xfId="50" applyFont="1" applyFill="1" applyBorder="1" applyAlignment="1" applyProtection="1">
      <alignment vertical="center"/>
    </xf>
    <xf numFmtId="44" fontId="0" fillId="0" borderId="65" xfId="0" applyNumberFormat="1" applyBorder="1"/>
    <xf numFmtId="44" fontId="0" fillId="0" borderId="67" xfId="0" applyNumberFormat="1" applyBorder="1"/>
    <xf numFmtId="10" fontId="0" fillId="5" borderId="66" xfId="50" applyNumberFormat="1" applyFont="1" applyFill="1" applyBorder="1"/>
    <xf numFmtId="0" fontId="0" fillId="12" borderId="30" xfId="0" applyFill="1" applyBorder="1"/>
    <xf numFmtId="10" fontId="0" fillId="5" borderId="16" xfId="50" applyNumberFormat="1" applyFont="1" applyFill="1" applyBorder="1"/>
    <xf numFmtId="0" fontId="17" fillId="0" borderId="68" xfId="0" applyFont="1" applyBorder="1"/>
    <xf numFmtId="0" fontId="17" fillId="0" borderId="64" xfId="0" applyFont="1" applyBorder="1"/>
    <xf numFmtId="0" fontId="17" fillId="5" borderId="69" xfId="0" applyFont="1" applyFill="1" applyBorder="1"/>
    <xf numFmtId="0" fontId="0" fillId="12" borderId="0" xfId="0" applyFill="1" applyBorder="1"/>
    <xf numFmtId="0" fontId="17" fillId="5" borderId="15" xfId="0" applyFont="1" applyFill="1" applyBorder="1"/>
    <xf numFmtId="17" fontId="32" fillId="10" borderId="19" xfId="0" applyNumberFormat="1" applyFont="1" applyFill="1" applyBorder="1" applyAlignment="1" applyProtection="1">
      <alignment horizontal="center" vertical="center"/>
    </xf>
    <xf numFmtId="17" fontId="32" fillId="10" borderId="21" xfId="0" applyNumberFormat="1" applyFont="1" applyFill="1" applyBorder="1" applyAlignment="1" applyProtection="1">
      <alignment horizontal="center" vertical="center"/>
    </xf>
    <xf numFmtId="17" fontId="32" fillId="10" borderId="20" xfId="0" applyNumberFormat="1" applyFont="1" applyFill="1" applyBorder="1" applyAlignment="1" applyProtection="1">
      <alignment horizontal="center" vertical="center"/>
    </xf>
    <xf numFmtId="10" fontId="20" fillId="0" borderId="18" xfId="50" applyNumberFormat="1" applyFont="1" applyFill="1" applyBorder="1" applyAlignment="1" applyProtection="1">
      <alignment vertical="center"/>
    </xf>
    <xf numFmtId="0" fontId="44" fillId="0" borderId="0" xfId="0" applyFont="1" applyAlignment="1">
      <alignment horizontal="left" vertical="center"/>
    </xf>
    <xf numFmtId="0" fontId="24" fillId="4"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20" fillId="7" borderId="23" xfId="42" applyProtection="1">
      <alignment horizontal="center" vertical="center"/>
      <protection locked="0"/>
    </xf>
    <xf numFmtId="0" fontId="20" fillId="8" borderId="23" xfId="43" applyProtection="1">
      <alignment horizontal="center" vertical="center"/>
      <protection locked="0"/>
    </xf>
    <xf numFmtId="0" fontId="20" fillId="15" borderId="10" xfId="0" applyFont="1" applyFill="1" applyBorder="1" applyAlignment="1" applyProtection="1">
      <alignment horizontal="center" vertical="center" wrapText="1"/>
    </xf>
    <xf numFmtId="0" fontId="20" fillId="15" borderId="55" xfId="0" applyFont="1" applyFill="1" applyBorder="1" applyAlignment="1" applyProtection="1">
      <alignment horizontal="center" vertical="center" wrapText="1"/>
    </xf>
    <xf numFmtId="0" fontId="20" fillId="15" borderId="13" xfId="0" applyFont="1" applyFill="1" applyBorder="1" applyAlignment="1" applyProtection="1">
      <alignment horizontal="center" vertical="center" wrapText="1"/>
    </xf>
    <xf numFmtId="0" fontId="20" fillId="15" borderId="56" xfId="0" applyFont="1" applyFill="1" applyBorder="1" applyAlignment="1" applyProtection="1">
      <alignment horizontal="center" vertical="center" wrapText="1"/>
    </xf>
    <xf numFmtId="0" fontId="20" fillId="15" borderId="14" xfId="0" applyFont="1" applyFill="1" applyBorder="1" applyAlignment="1" applyProtection="1">
      <alignment horizontal="center" vertical="center" wrapText="1"/>
    </xf>
    <xf numFmtId="0" fontId="20" fillId="15" borderId="57" xfId="0" applyFont="1" applyFill="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44" fontId="27" fillId="0" borderId="49" xfId="0" applyNumberFormat="1" applyFont="1" applyBorder="1" applyAlignment="1" applyProtection="1">
      <alignment horizontal="center" vertical="center"/>
      <protection locked="0"/>
    </xf>
    <xf numFmtId="44" fontId="27" fillId="0" borderId="45" xfId="0" applyNumberFormat="1" applyFont="1" applyBorder="1" applyAlignment="1" applyProtection="1">
      <alignment horizontal="center" vertical="center"/>
      <protection locked="0"/>
    </xf>
    <xf numFmtId="42" fontId="20" fillId="0" borderId="50" xfId="0" applyNumberFormat="1" applyFont="1" applyFill="1" applyBorder="1" applyAlignment="1" applyProtection="1">
      <alignment horizontal="center" vertical="top"/>
      <protection locked="0"/>
    </xf>
    <xf numFmtId="42" fontId="20" fillId="0" borderId="46" xfId="0" applyNumberFormat="1" applyFont="1" applyFill="1" applyBorder="1" applyAlignment="1" applyProtection="1">
      <alignment horizontal="center" vertical="top"/>
      <protection locked="0"/>
    </xf>
    <xf numFmtId="0" fontId="28" fillId="3" borderId="0" xfId="0" applyFont="1" applyFill="1" applyBorder="1" applyAlignment="1" applyProtection="1">
      <alignment horizontal="center" vertical="center" wrapText="1"/>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2" fillId="10" borderId="19" xfId="0" applyFont="1" applyFill="1" applyBorder="1" applyAlignment="1" applyProtection="1">
      <alignment horizontal="center" vertical="center" wrapText="1"/>
    </xf>
    <xf numFmtId="0" fontId="32" fillId="10" borderId="20" xfId="0" applyFont="1" applyFill="1" applyBorder="1" applyAlignment="1" applyProtection="1">
      <alignment horizontal="center" vertical="center" wrapText="1"/>
    </xf>
    <xf numFmtId="0" fontId="20" fillId="0" borderId="0" xfId="0" applyFont="1" applyBorder="1" applyAlignment="1" applyProtection="1">
      <alignment horizontal="left" vertical="center"/>
    </xf>
    <xf numFmtId="0" fontId="20" fillId="0" borderId="30" xfId="0" applyFont="1" applyBorder="1" applyAlignment="1" applyProtection="1">
      <alignment horizontal="left" vertical="center"/>
    </xf>
    <xf numFmtId="42" fontId="20" fillId="12" borderId="11" xfId="0" applyNumberFormat="1" applyFont="1" applyFill="1" applyBorder="1" applyAlignment="1" applyProtection="1">
      <alignment horizontal="center" vertical="top"/>
    </xf>
    <xf numFmtId="42" fontId="20" fillId="12" borderId="0" xfId="0" applyNumberFormat="1" applyFont="1" applyFill="1" applyBorder="1" applyAlignment="1" applyProtection="1">
      <alignment horizontal="center" vertical="top"/>
    </xf>
    <xf numFmtId="0" fontId="27" fillId="0" borderId="0" xfId="0" applyFont="1" applyBorder="1" applyAlignment="1" applyProtection="1">
      <alignment horizontal="left" vertical="center"/>
    </xf>
    <xf numFmtId="0" fontId="27" fillId="0" borderId="30" xfId="0" applyFont="1" applyBorder="1" applyAlignment="1" applyProtection="1">
      <alignment horizontal="left" vertical="center"/>
    </xf>
    <xf numFmtId="0" fontId="20" fillId="0" borderId="10"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2" borderId="10" xfId="0" applyFont="1" applyFill="1" applyBorder="1" applyAlignment="1" applyProtection="1">
      <alignment horizontal="center" vertical="top"/>
    </xf>
    <xf numFmtId="0" fontId="20" fillId="12" borderId="11" xfId="0" applyFont="1" applyFill="1" applyBorder="1" applyAlignment="1" applyProtection="1">
      <alignment horizontal="center" vertical="top"/>
    </xf>
    <xf numFmtId="0" fontId="20" fillId="12" borderId="12" xfId="0" applyFont="1" applyFill="1" applyBorder="1" applyAlignment="1" applyProtection="1">
      <alignment horizontal="center" vertical="top"/>
    </xf>
    <xf numFmtId="0" fontId="20" fillId="12" borderId="13" xfId="0" applyFont="1" applyFill="1" applyBorder="1" applyAlignment="1" applyProtection="1">
      <alignment horizontal="center" vertical="top"/>
    </xf>
    <xf numFmtId="0" fontId="20" fillId="12" borderId="0" xfId="0" applyFont="1" applyFill="1" applyBorder="1" applyAlignment="1" applyProtection="1">
      <alignment horizontal="center" vertical="top"/>
    </xf>
    <xf numFmtId="0" fontId="20" fillId="12" borderId="30" xfId="0" applyFont="1" applyFill="1" applyBorder="1" applyAlignment="1" applyProtection="1">
      <alignment horizontal="center" vertical="top"/>
    </xf>
    <xf numFmtId="0" fontId="20" fillId="12" borderId="14" xfId="0" applyFont="1" applyFill="1" applyBorder="1" applyAlignment="1" applyProtection="1">
      <alignment horizontal="center" vertical="top"/>
    </xf>
    <xf numFmtId="0" fontId="20" fillId="12" borderId="15" xfId="0" applyFont="1" applyFill="1" applyBorder="1" applyAlignment="1" applyProtection="1">
      <alignment horizontal="center" vertical="top"/>
    </xf>
    <xf numFmtId="0" fontId="20" fillId="12" borderId="16" xfId="0" applyFont="1" applyFill="1" applyBorder="1" applyAlignment="1" applyProtection="1">
      <alignment horizontal="center" vertical="top"/>
    </xf>
    <xf numFmtId="0" fontId="20" fillId="12" borderId="17" xfId="0" applyFont="1" applyFill="1" applyBorder="1" applyAlignment="1" applyProtection="1">
      <alignment horizontal="center" vertical="top"/>
    </xf>
    <xf numFmtId="0" fontId="20" fillId="12" borderId="41" xfId="0" applyFont="1" applyFill="1" applyBorder="1" applyAlignment="1" applyProtection="1">
      <alignment horizontal="center" vertical="top"/>
    </xf>
    <xf numFmtId="0" fontId="20" fillId="12" borderId="18" xfId="0" applyFont="1" applyFill="1" applyBorder="1" applyAlignment="1" applyProtection="1">
      <alignment horizontal="center" vertical="top"/>
    </xf>
    <xf numFmtId="0" fontId="0" fillId="12" borderId="13" xfId="0" applyFill="1" applyBorder="1" applyAlignment="1" applyProtection="1">
      <alignment horizontal="center"/>
    </xf>
    <xf numFmtId="0" fontId="0" fillId="12" borderId="30" xfId="0" applyFill="1" applyBorder="1" applyAlignment="1" applyProtection="1">
      <alignment horizontal="center"/>
    </xf>
    <xf numFmtId="0" fontId="20" fillId="0" borderId="45" xfId="0" applyFont="1" applyBorder="1" applyAlignment="1" applyProtection="1">
      <alignment horizontal="center" vertical="top"/>
      <protection locked="0"/>
    </xf>
    <xf numFmtId="0" fontId="23" fillId="0" borderId="46" xfId="0" applyFont="1" applyBorder="1" applyAlignment="1" applyProtection="1">
      <alignment horizontal="center"/>
      <protection locked="0"/>
    </xf>
    <xf numFmtId="0" fontId="0" fillId="0" borderId="45"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8" xfId="0" applyBorder="1" applyAlignment="1" applyProtection="1">
      <alignment horizontal="center"/>
      <protection locked="0"/>
    </xf>
    <xf numFmtId="0" fontId="38" fillId="0" borderId="0" xfId="0" applyFont="1" applyBorder="1" applyAlignment="1" applyProtection="1">
      <alignment horizontal="right" vertical="center"/>
    </xf>
    <xf numFmtId="0" fontId="32" fillId="10" borderId="10" xfId="0" applyFont="1" applyFill="1" applyBorder="1" applyAlignment="1" applyProtection="1">
      <alignment horizontal="center" vertical="center"/>
    </xf>
    <xf numFmtId="0" fontId="32" fillId="10" borderId="12" xfId="0" applyFont="1" applyFill="1" applyBorder="1" applyAlignment="1" applyProtection="1">
      <alignment horizontal="center" vertical="center"/>
    </xf>
    <xf numFmtId="0" fontId="27" fillId="15" borderId="58" xfId="0" applyFont="1" applyFill="1" applyBorder="1" applyAlignment="1" applyProtection="1">
      <alignment horizontal="center" vertical="center"/>
    </xf>
    <xf numFmtId="0" fontId="27" fillId="15" borderId="59" xfId="0" applyFont="1" applyFill="1" applyBorder="1" applyAlignment="1" applyProtection="1">
      <alignment horizontal="center" vertical="center"/>
    </xf>
    <xf numFmtId="0" fontId="27" fillId="15" borderId="60" xfId="0" applyFont="1" applyFill="1" applyBorder="1" applyAlignment="1" applyProtection="1">
      <alignment horizontal="center" vertical="center"/>
    </xf>
    <xf numFmtId="0" fontId="20" fillId="15" borderId="0" xfId="0" applyFont="1" applyFill="1" applyBorder="1" applyAlignment="1" applyProtection="1">
      <alignment horizontal="left" vertical="center"/>
    </xf>
    <xf numFmtId="0" fontId="20" fillId="15" borderId="30" xfId="0" applyFont="1" applyFill="1" applyBorder="1" applyAlignment="1" applyProtection="1">
      <alignment horizontal="left" vertical="center"/>
    </xf>
    <xf numFmtId="0" fontId="20" fillId="15" borderId="15" xfId="0" applyFont="1" applyFill="1" applyBorder="1" applyAlignment="1" applyProtection="1">
      <alignment horizontal="left" vertical="center"/>
    </xf>
    <xf numFmtId="0" fontId="20" fillId="15" borderId="16" xfId="0" applyFont="1" applyFill="1" applyBorder="1" applyAlignment="1" applyProtection="1">
      <alignment horizontal="left" vertical="center"/>
    </xf>
    <xf numFmtId="0" fontId="20" fillId="0" borderId="0" xfId="0" applyFont="1" applyBorder="1" applyAlignment="1" applyProtection="1">
      <alignment vertical="top" wrapText="1"/>
    </xf>
    <xf numFmtId="49" fontId="27" fillId="0" borderId="10" xfId="0" applyNumberFormat="1" applyFont="1" applyBorder="1" applyAlignment="1" applyProtection="1">
      <alignment horizontal="left" vertical="top" wrapText="1"/>
    </xf>
    <xf numFmtId="49" fontId="27" fillId="0" borderId="12" xfId="0" applyNumberFormat="1" applyFont="1" applyBorder="1" applyAlignment="1" applyProtection="1">
      <alignment horizontal="left" vertical="top" wrapText="1"/>
    </xf>
    <xf numFmtId="49" fontId="30" fillId="0" borderId="10" xfId="0" applyNumberFormat="1" applyFont="1" applyFill="1" applyBorder="1" applyAlignment="1" applyProtection="1">
      <alignment horizontal="left" vertical="top" wrapText="1"/>
    </xf>
    <xf numFmtId="49" fontId="30" fillId="0" borderId="12" xfId="0" applyNumberFormat="1" applyFont="1" applyFill="1" applyBorder="1" applyAlignment="1" applyProtection="1">
      <alignment horizontal="left" vertical="top" wrapText="1"/>
    </xf>
    <xf numFmtId="49" fontId="23" fillId="0" borderId="13" xfId="0" applyNumberFormat="1" applyFont="1" applyBorder="1" applyAlignment="1" applyProtection="1">
      <alignment horizontal="left" vertical="top" wrapText="1"/>
      <protection locked="0"/>
    </xf>
    <xf numFmtId="49" fontId="23" fillId="0" borderId="30"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30"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2" borderId="10" xfId="0" applyFill="1" applyBorder="1" applyAlignment="1" applyProtection="1">
      <alignment horizontal="center"/>
    </xf>
    <xf numFmtId="0" fontId="0" fillId="12" borderId="11" xfId="0" applyFill="1" applyBorder="1" applyAlignment="1" applyProtection="1">
      <alignment horizontal="center"/>
    </xf>
    <xf numFmtId="0" fontId="0" fillId="12" borderId="0" xfId="0" applyFill="1" applyAlignment="1" applyProtection="1">
      <alignment horizontal="center"/>
    </xf>
    <xf numFmtId="0" fontId="0" fillId="12" borderId="14" xfId="0" applyFill="1" applyBorder="1" applyAlignment="1" applyProtection="1">
      <alignment horizontal="center"/>
    </xf>
    <xf numFmtId="0" fontId="0" fillId="12" borderId="15" xfId="0" applyFill="1" applyBorder="1" applyAlignment="1" applyProtection="1">
      <alignment horizontal="center"/>
    </xf>
    <xf numFmtId="0" fontId="43" fillId="10" borderId="10" xfId="0" applyFont="1" applyFill="1" applyBorder="1" applyAlignment="1">
      <alignment horizontal="center" vertical="center"/>
    </xf>
    <xf numFmtId="0" fontId="43" fillId="10" borderId="12" xfId="0" applyFont="1" applyFill="1" applyBorder="1" applyAlignment="1">
      <alignment horizontal="center" vertical="center"/>
    </xf>
    <xf numFmtId="42" fontId="20" fillId="12" borderId="12" xfId="0" applyNumberFormat="1" applyFont="1" applyFill="1" applyBorder="1" applyAlignment="1" applyProtection="1">
      <alignment horizontal="center" vertical="top"/>
    </xf>
    <xf numFmtId="42" fontId="20" fillId="12" borderId="30" xfId="0" applyNumberFormat="1" applyFont="1" applyFill="1" applyBorder="1" applyAlignment="1" applyProtection="1">
      <alignment horizontal="center" vertical="top"/>
    </xf>
    <xf numFmtId="0" fontId="20" fillId="16" borderId="23" xfId="42" applyFill="1" applyProtection="1">
      <alignment horizontal="center" vertical="center"/>
    </xf>
    <xf numFmtId="0" fontId="32" fillId="2" borderId="0" xfId="0" applyFont="1" applyFill="1" applyAlignment="1" applyProtection="1">
      <alignment horizontal="right" vertical="center"/>
    </xf>
    <xf numFmtId="0" fontId="41" fillId="15" borderId="10" xfId="0" applyFont="1" applyFill="1" applyBorder="1" applyAlignment="1" applyProtection="1">
      <alignment horizontal="left" vertical="center" wrapText="1"/>
    </xf>
    <xf numFmtId="0" fontId="41" fillId="15" borderId="11" xfId="0" applyFont="1" applyFill="1" applyBorder="1" applyAlignment="1" applyProtection="1">
      <alignment horizontal="left" vertical="center" wrapText="1"/>
    </xf>
    <xf numFmtId="0" fontId="41" fillId="15" borderId="12" xfId="0" applyFont="1" applyFill="1" applyBorder="1" applyAlignment="1" applyProtection="1">
      <alignment horizontal="left" vertical="center" wrapText="1"/>
    </xf>
    <xf numFmtId="0" fontId="41" fillId="15" borderId="13" xfId="0" applyFont="1" applyFill="1" applyBorder="1" applyAlignment="1" applyProtection="1">
      <alignment horizontal="left" vertical="center" wrapText="1"/>
    </xf>
    <xf numFmtId="0" fontId="41" fillId="15" borderId="0" xfId="0" applyFont="1" applyFill="1" applyBorder="1" applyAlignment="1" applyProtection="1">
      <alignment horizontal="left" vertical="center" wrapText="1"/>
    </xf>
    <xf numFmtId="0" fontId="41" fillId="15" borderId="30" xfId="0" applyFont="1" applyFill="1" applyBorder="1" applyAlignment="1" applyProtection="1">
      <alignment horizontal="left" vertical="center" wrapText="1"/>
    </xf>
    <xf numFmtId="0" fontId="41" fillId="15" borderId="14" xfId="0" applyFont="1" applyFill="1" applyBorder="1" applyAlignment="1" applyProtection="1">
      <alignment horizontal="left" vertical="center" wrapText="1"/>
    </xf>
    <xf numFmtId="0" fontId="41" fillId="15" borderId="15" xfId="0" applyFont="1" applyFill="1" applyBorder="1" applyAlignment="1" applyProtection="1">
      <alignment horizontal="left" vertical="center" wrapText="1"/>
    </xf>
    <xf numFmtId="0" fontId="41" fillId="15" borderId="16" xfId="0" applyFont="1" applyFill="1" applyBorder="1" applyAlignment="1" applyProtection="1">
      <alignment horizontal="left" vertical="center" wrapText="1"/>
    </xf>
    <xf numFmtId="0" fontId="42" fillId="0" borderId="0" xfId="0" applyFont="1" applyAlignment="1" applyProtection="1">
      <alignment horizontal="center" vertical="center"/>
    </xf>
    <xf numFmtId="0" fontId="42" fillId="0" borderId="0" xfId="0" applyFont="1" applyBorder="1" applyAlignment="1" applyProtection="1">
      <alignment horizontal="center" vertical="center"/>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xf numFmtId="0" fontId="23" fillId="0" borderId="69" xfId="0" applyFont="1" applyBorder="1" applyAlignment="1">
      <alignment horizontal="left" vertical="center" wrapText="1"/>
    </xf>
    <xf numFmtId="0" fontId="23" fillId="0" borderId="66" xfId="0" applyFont="1" applyBorder="1" applyAlignment="1">
      <alignment horizontal="left" vertical="center" wrapText="1"/>
    </xf>
  </cellXfs>
  <cellStyles count="52">
    <cellStyle name="Budget Authority" xfId="41"/>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3">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2"/>
      <tableStyleElement type="totalRow" dxfId="191"/>
      <tableStyleElement type="firstColumn" dxfId="190"/>
      <tableStyleElement type="lastColumn" dxfId="189"/>
      <tableStyleElement type="firstRowStripe" dxfId="188"/>
      <tableStyleElement type="secondRowStripe" dxfId="187"/>
    </tableStyle>
  </tableStyles>
  <colors>
    <mruColors>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38676" y="78442"/>
          <a:ext cx="2265302" cy="7407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922945</xdr:colOff>
      <xdr:row>2</xdr:row>
      <xdr:rowOff>169203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47025B6-41B7-4939-89CB-8516CF7A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tabSelected="1" zoomScale="85" zoomScaleNormal="85" zoomScaleSheetLayoutView="85" zoomScalePageLayoutView="75" workbookViewId="0">
      <selection activeCell="L4" sqref="L4"/>
    </sheetView>
  </sheetViews>
  <sheetFormatPr defaultColWidth="9.140625" defaultRowHeight="15.75" x14ac:dyDescent="0.2"/>
  <cols>
    <col min="1" max="1" width="5" style="6" customWidth="1"/>
    <col min="2" max="2" width="4.7109375" style="6" customWidth="1"/>
    <col min="3" max="3" width="21.7109375" style="7" customWidth="1"/>
    <col min="4" max="4" width="20.140625" style="6" customWidth="1"/>
    <col min="5" max="12" width="19.140625" style="6" customWidth="1"/>
    <col min="13" max="13" width="19.28515625" style="6" customWidth="1"/>
    <col min="14" max="14" width="39.425781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05" t="s">
        <v>7</v>
      </c>
      <c r="E4" s="105"/>
      <c r="F4" s="9"/>
      <c r="G4" s="35" t="s">
        <v>140</v>
      </c>
      <c r="H4" s="105" t="s">
        <v>136</v>
      </c>
      <c r="I4" s="105"/>
      <c r="K4" s="35" t="s">
        <v>1</v>
      </c>
      <c r="L4" s="34">
        <v>2</v>
      </c>
    </row>
    <row r="5" spans="1:14" ht="26.25" customHeight="1" thickBot="1" x14ac:dyDescent="0.25">
      <c r="A5" s="8"/>
      <c r="C5" s="35" t="s">
        <v>70</v>
      </c>
      <c r="D5" s="106" t="s">
        <v>230</v>
      </c>
      <c r="E5" s="106"/>
      <c r="F5" s="9"/>
      <c r="M5" s="119" t="s">
        <v>158</v>
      </c>
      <c r="N5" s="119"/>
    </row>
    <row r="6" spans="1:14" ht="26.25" customHeight="1" x14ac:dyDescent="0.2">
      <c r="A6" s="8"/>
      <c r="C6" s="35" t="s">
        <v>71</v>
      </c>
      <c r="D6" s="105" t="s">
        <v>231</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Circuit Criminal</v>
      </c>
      <c r="E8" s="10"/>
      <c r="F8" s="120" t="s">
        <v>142</v>
      </c>
      <c r="G8" s="120"/>
      <c r="H8" s="38">
        <f ca="1">INDEX(LookupData!AA3:AA12,MATCH(D8,LookupData!Z3:Z12,0))</f>
        <v>0.09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38570.839999999997</v>
      </c>
      <c r="F13" s="57">
        <f ca="1">SUMIFS(LookupData!J$3:J$2682,LookupData!$A$3:$A$2682,$D$4,LookupData!$B$3:$B$2682,$D$8,LookupData!$C$3:$C$2682,$A12)</f>
        <v>56906.9</v>
      </c>
      <c r="G13" s="57">
        <f ca="1">SUMIFS(LookupData!K$3:K$2682,LookupData!$A$3:$A$2682,$D$4,LookupData!$B$3:$B$2682,$D$8,LookupData!$C$3:$C$2682,$A12)</f>
        <v>68081.75</v>
      </c>
      <c r="H13" s="57">
        <f ca="1">SUMIFS(LookupData!L$3:L$2682,LookupData!$A$3:$A$2682,$D$4,LookupData!$B$3:$B$2682,$D$8,LookupData!$C$3:$C$2682,$A12)</f>
        <v>82869.279999999999</v>
      </c>
      <c r="I13" s="47">
        <v>100530.58</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950675.9</v>
      </c>
      <c r="F14" s="59">
        <f ca="1">SUMIFS(LookupData!E$3:E$2682,LookupData!$A$3:$A$2682,$D$4,LookupData!$B$3:$B$2682,$D$8,LookupData!$C$3:$C$2682,$A12)</f>
        <v>945295.9</v>
      </c>
      <c r="G14" s="59">
        <f ca="1">SUMIFS(LookupData!F$3:F$2682,LookupData!$A$3:$A$2682,$D$4,LookupData!$B$3:$B$2682,$D$8,LookupData!$C$3:$C$2682,$A12)</f>
        <v>944605.9</v>
      </c>
      <c r="H14" s="59">
        <f ca="1">SUMIFS(LookupData!G$3:G$2682,LookupData!$A$3:$A$2682,$D$4,LookupData!$B$3:$B$2682,$D$8,LookupData!$C$3:$C$2682,$A12)</f>
        <v>944147.4</v>
      </c>
      <c r="I14" s="48">
        <v>943897.4</v>
      </c>
      <c r="J14" s="127"/>
      <c r="K14" s="127"/>
      <c r="L14" s="127"/>
      <c r="M14" s="116"/>
      <c r="N14" s="118"/>
    </row>
    <row r="15" spans="1:14" ht="19.5" customHeight="1" thickTop="1" thickBot="1" x14ac:dyDescent="0.25">
      <c r="A15" s="111"/>
      <c r="B15" s="112"/>
      <c r="C15" s="124" t="s">
        <v>157</v>
      </c>
      <c r="D15" s="125"/>
      <c r="E15" s="75">
        <f ca="1">IFERROR(IF(E14=0,1,ROUND(E13/E14,4)),0)</f>
        <v>4.0599999999999997E-2</v>
      </c>
      <c r="F15" s="81">
        <f t="shared" ref="F15:I15" ca="1" si="0">IFERROR(IF(F14=0,1,ROUND(F13/F14,4)),0)</f>
        <v>6.0199999999999997E-2</v>
      </c>
      <c r="G15" s="81">
        <f t="shared" ca="1" si="0"/>
        <v>7.2099999999999997E-2</v>
      </c>
      <c r="H15" s="81">
        <f t="shared" ca="1" si="0"/>
        <v>8.7800000000000003E-2</v>
      </c>
      <c r="I15" s="82">
        <f t="shared" si="0"/>
        <v>0.1065</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49124.22</v>
      </c>
      <c r="G17" s="57">
        <f ca="1">SUMIFS(LookupData!J$3:J$2682,LookupData!$A$3:$A$2682,$D$4,LookupData!$B$3:$B$2682,$D$8,LookupData!$C$3:$C$2682,$A16)</f>
        <v>65855.539999999994</v>
      </c>
      <c r="H17" s="57">
        <f ca="1">SUMIFS(LookupData!K$3:K$2682,LookupData!$A$3:$A$2682,$D$4,LookupData!$B$3:$B$2682,$D$8,LookupData!$C$3:$C$2682,$A16)</f>
        <v>92027.4</v>
      </c>
      <c r="I17" s="32">
        <v>105419.92</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1621447.1</v>
      </c>
      <c r="G18" s="59">
        <f ca="1">SUMIFS(LookupData!E$3:E$2682,LookupData!$A$3:$A$2682,$D$4,LookupData!$B$3:$B$2682,$D$8,LookupData!$C$3:$C$2682,$A16)</f>
        <v>1617015.6</v>
      </c>
      <c r="H18" s="59">
        <f ca="1">SUMIFS(LookupData!F$3:F$2682,LookupData!$A$3:$A$2682,$D$4,LookupData!$B$3:$B$2682,$D$8,LookupData!$C$3:$C$2682,$A16)</f>
        <v>1615314.1</v>
      </c>
      <c r="I18" s="42">
        <v>1615259.1</v>
      </c>
      <c r="J18" s="48"/>
      <c r="K18" s="141"/>
      <c r="L18" s="143"/>
      <c r="M18" s="152"/>
      <c r="N18" s="153"/>
    </row>
    <row r="19" spans="1:16" ht="20.25" customHeight="1" thickTop="1" thickBot="1" x14ac:dyDescent="0.25">
      <c r="A19" s="134"/>
      <c r="B19" s="135"/>
      <c r="C19" s="136" t="s">
        <v>157</v>
      </c>
      <c r="D19" s="137"/>
      <c r="E19" s="149"/>
      <c r="F19" s="77">
        <f ca="1">IFERROR(IF(F18=0,1,ROUND(F17/F18,4)),0)</f>
        <v>3.0300000000000001E-2</v>
      </c>
      <c r="G19" s="79">
        <f t="shared" ref="G19:J19" ca="1" si="1">IFERROR(IF(G18=0,1,ROUND(G17/G18,4)),0)</f>
        <v>4.07E-2</v>
      </c>
      <c r="H19" s="79">
        <f t="shared" ca="1" si="1"/>
        <v>5.7000000000000002E-2</v>
      </c>
      <c r="I19" s="79">
        <f t="shared" si="1"/>
        <v>6.5299999999999997E-2</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51081.22</v>
      </c>
      <c r="H21" s="57">
        <f ca="1">SUMIFS(LookupData!J$3:J$2682,LookupData!$A$3:$A$2682,$D$4,LookupData!$B$3:$B$2682,$D$8,LookupData!$C$3:$C$2682,$A20)</f>
        <v>67390.41</v>
      </c>
      <c r="I21" s="32">
        <v>83936.82</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837425.56</v>
      </c>
      <c r="H22" s="59">
        <f ca="1">SUMIFS(LookupData!E$3:E$2682,LookupData!$A$3:$A$2682,$D$4,LookupData!$B$3:$B$2682,$D$8,LookupData!$C$3:$C$2682,$A20)</f>
        <v>831517.56</v>
      </c>
      <c r="I22" s="42">
        <v>830512.56</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6.0999999999999999E-2</v>
      </c>
      <c r="H23" s="81">
        <f t="shared" ca="1" si="2"/>
        <v>8.1000000000000003E-2</v>
      </c>
      <c r="I23" s="81">
        <f t="shared" si="2"/>
        <v>0.1011</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47542.239999999998</v>
      </c>
      <c r="I25" s="32">
        <v>57618.73</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1200892.8500000001</v>
      </c>
      <c r="I26" s="42">
        <v>1196296.8500000001</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3.9600000000000003E-2</v>
      </c>
      <c r="I27" s="79">
        <f t="shared" si="3"/>
        <v>4.82E-2</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44201.15</v>
      </c>
      <c r="J29" s="32"/>
      <c r="K29" s="32"/>
      <c r="L29" s="47"/>
      <c r="M29" s="150"/>
      <c r="N29" s="183"/>
      <c r="O29"/>
      <c r="P29"/>
    </row>
    <row r="30" spans="1:16" ht="20.25" customHeight="1" thickBot="1" x14ac:dyDescent="0.25">
      <c r="A30" s="109"/>
      <c r="B30" s="110"/>
      <c r="C30" s="124" t="s">
        <v>156</v>
      </c>
      <c r="D30" s="125"/>
      <c r="E30" s="141"/>
      <c r="F30" s="142"/>
      <c r="G30" s="142"/>
      <c r="H30" s="143"/>
      <c r="I30" s="41">
        <v>868377.19</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5.0900000000000001E-2</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54" customHeight="1" x14ac:dyDescent="0.3">
      <c r="B45" s="158" t="s">
        <v>168</v>
      </c>
      <c r="C45" s="158"/>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66TtFLjob5VHq8JpP4TZQA7grmEv6YuqGJOszjKEcJAgzy2AvXFSIQyv07CZxvc7TYGR+DXC2HSXeu3LABEP+g==" saltValue="DgUvBZDOUiRHt+bCg/1hLA==" spinCount="100000" sheet="1" objects="1" scenarios="1" formatColumns="0"/>
  <mergeCells count="82">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 ref="M16:M19"/>
    <mergeCell ref="N16:N19"/>
    <mergeCell ref="M20:M23"/>
    <mergeCell ref="N20:N23"/>
    <mergeCell ref="M24:M27"/>
    <mergeCell ref="N24:N27"/>
    <mergeCell ref="A40:B43"/>
    <mergeCell ref="C40:D40"/>
    <mergeCell ref="C41:D41"/>
    <mergeCell ref="C42:D42"/>
    <mergeCell ref="C43:D43"/>
    <mergeCell ref="E16:E19"/>
    <mergeCell ref="E20:F23"/>
    <mergeCell ref="E24:G27"/>
    <mergeCell ref="E28:H31"/>
    <mergeCell ref="E32:I35"/>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C25:D25"/>
    <mergeCell ref="C26:D26"/>
    <mergeCell ref="C27:D27"/>
    <mergeCell ref="A28:B31"/>
    <mergeCell ref="C28:D28"/>
    <mergeCell ref="C29:D29"/>
    <mergeCell ref="C30:D30"/>
    <mergeCell ref="C31:D31"/>
    <mergeCell ref="A16:B19"/>
    <mergeCell ref="C16:D16"/>
    <mergeCell ref="C17:D17"/>
    <mergeCell ref="C18:D18"/>
    <mergeCell ref="C19:D19"/>
    <mergeCell ref="A20:B23"/>
    <mergeCell ref="C20:D20"/>
    <mergeCell ref="C21:D21"/>
    <mergeCell ref="C22:D22"/>
    <mergeCell ref="C23:D23"/>
    <mergeCell ref="M12:M15"/>
    <mergeCell ref="N12:N15"/>
    <mergeCell ref="M5:N5"/>
    <mergeCell ref="D6:E6"/>
    <mergeCell ref="A8:C8"/>
    <mergeCell ref="F8:G8"/>
    <mergeCell ref="M10:N10"/>
    <mergeCell ref="C13:D13"/>
    <mergeCell ref="C14:D14"/>
    <mergeCell ref="C15:D15"/>
    <mergeCell ref="J12:L15"/>
    <mergeCell ref="H4:I4"/>
    <mergeCell ref="D4:E4"/>
    <mergeCell ref="D5:E5"/>
    <mergeCell ref="A12:B15"/>
    <mergeCell ref="C12:D12"/>
  </mergeCells>
  <conditionalFormatting sqref="M12:N15">
    <cfRule type="expression" dxfId="186" priority="20">
      <formula>$I$15&lt;$H$8</formula>
    </cfRule>
  </conditionalFormatting>
  <conditionalFormatting sqref="M16:N19">
    <cfRule type="expression" dxfId="185" priority="19">
      <formula>$J$19&lt;$H$8</formula>
    </cfRule>
  </conditionalFormatting>
  <conditionalFormatting sqref="M20:N23">
    <cfRule type="expression" dxfId="184" priority="18">
      <formula>$K$23&lt;$H$8</formula>
    </cfRule>
  </conditionalFormatting>
  <conditionalFormatting sqref="M24:N27">
    <cfRule type="expression" dxfId="183" priority="17">
      <formula>$L$27&lt;$H$8</formula>
    </cfRule>
  </conditionalFormatting>
  <conditionalFormatting sqref="F14:I14">
    <cfRule type="expression" dxfId="182" priority="16">
      <formula>F14&gt;(MIN($E14:E14))</formula>
    </cfRule>
  </conditionalFormatting>
  <conditionalFormatting sqref="F13:I13">
    <cfRule type="expression" dxfId="181" priority="15">
      <formula>F13&lt;(MAX($E13:E13))</formula>
    </cfRule>
  </conditionalFormatting>
  <conditionalFormatting sqref="G17:J17">
    <cfRule type="expression" dxfId="180" priority="14">
      <formula>G17&lt;(MAX($F17:F17))</formula>
    </cfRule>
  </conditionalFormatting>
  <conditionalFormatting sqref="G18:J18">
    <cfRule type="expression" dxfId="179" priority="13">
      <formula>G18&gt;(MIN($F18:F18))</formula>
    </cfRule>
  </conditionalFormatting>
  <conditionalFormatting sqref="H22:K22">
    <cfRule type="expression" dxfId="178" priority="11">
      <formula>H22&gt;(MIN($G22:G22))</formula>
    </cfRule>
  </conditionalFormatting>
  <conditionalFormatting sqref="H21:K21">
    <cfRule type="expression" dxfId="177" priority="10">
      <formula>H21&lt;(MAX($G21:G21))</formula>
    </cfRule>
  </conditionalFormatting>
  <conditionalFormatting sqref="I26:L26">
    <cfRule type="expression" dxfId="176" priority="9">
      <formula>I26&gt;(MIN($H26:H26))</formula>
    </cfRule>
  </conditionalFormatting>
  <conditionalFormatting sqref="I25:L25">
    <cfRule type="expression" dxfId="175" priority="8">
      <formula>I25&lt;(MAX($H25:H25))</formula>
    </cfRule>
  </conditionalFormatting>
  <conditionalFormatting sqref="J30:L30">
    <cfRule type="expression" dxfId="174" priority="7">
      <formula>J30&gt;(MIN($I30:I30))</formula>
    </cfRule>
  </conditionalFormatting>
  <conditionalFormatting sqref="J29:L29">
    <cfRule type="expression" dxfId="173" priority="6">
      <formula>J29&lt;(MAX($I29:I29))</formula>
    </cfRule>
  </conditionalFormatting>
  <conditionalFormatting sqref="K34:L34">
    <cfRule type="expression" dxfId="172" priority="5">
      <formula>K34&gt;(MIN($J34:J34))</formula>
    </cfRule>
  </conditionalFormatting>
  <conditionalFormatting sqref="K33:L33">
    <cfRule type="expression" dxfId="171" priority="4">
      <formula>K33&lt;(MAX($J33:J33))</formula>
    </cfRule>
  </conditionalFormatting>
  <conditionalFormatting sqref="L38">
    <cfRule type="expression" dxfId="170" priority="3">
      <formula>L38&gt;(MIN($G38:K38))</formula>
    </cfRule>
  </conditionalFormatting>
  <conditionalFormatting sqref="L37">
    <cfRule type="expression" dxfId="169" priority="2">
      <formula>L37&lt;(MAX($K37:K37))</formula>
    </cfRule>
  </conditionalFormatting>
  <conditionalFormatting sqref="I15 J19 K23 L27">
    <cfRule type="expression" dxfId="16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43" zoomScale="85" zoomScaleNormal="85" zoomScaleSheetLayoutView="62" zoomScalePageLayoutView="75" workbookViewId="0">
      <selection activeCell="I31" sqref="I31"/>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Civil Traffic</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593037.85</v>
      </c>
      <c r="F13" s="57">
        <f ca="1">SUMIFS(LookupData!J$3:J$2682,LookupData!$A$3:$A$2682,$D$4,LookupData!$B$3:$B$2682,$D$8,LookupData!$C$3:$C$2682,$A12)</f>
        <v>896156.16000000003</v>
      </c>
      <c r="G13" s="57">
        <f ca="1">SUMIFS(LookupData!K$3:K$2682,LookupData!$A$3:$A$2682,$D$4,LookupData!$B$3:$B$2682,$D$8,LookupData!$C$3:$C$2682,$A12)</f>
        <v>954407.08</v>
      </c>
      <c r="H13" s="57">
        <f ca="1">SUMIFS(LookupData!L$3:L$2682,LookupData!$A$3:$A$2682,$D$4,LookupData!$B$3:$B$2682,$D$8,LookupData!$C$3:$C$2682,$A12)</f>
        <v>972519.32</v>
      </c>
      <c r="I13" s="47">
        <v>984138.82</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1139756.1000000001</v>
      </c>
      <c r="F14" s="59">
        <f ca="1">SUMIFS(LookupData!E$3:E$2682,LookupData!$A$3:$A$2682,$D$4,LookupData!$B$3:$B$2682,$D$8,LookupData!$C$3:$C$2682,$A12)</f>
        <v>1088001.8999999999</v>
      </c>
      <c r="G14" s="59">
        <f ca="1">SUMIFS(LookupData!F$3:F$2682,LookupData!$A$3:$A$2682,$D$4,LookupData!$B$3:$B$2682,$D$8,LookupData!$C$3:$C$2682,$A12)</f>
        <v>1085545.8999999999</v>
      </c>
      <c r="H14" s="59">
        <f ca="1">SUMIFS(LookupData!G$3:G$2682,LookupData!$A$3:$A$2682,$D$4,LookupData!$B$3:$B$2682,$D$8,LookupData!$C$3:$C$2682,$A12)</f>
        <v>1085426.8999999999</v>
      </c>
      <c r="I14" s="48">
        <v>1084642.8999999999</v>
      </c>
      <c r="J14" s="127"/>
      <c r="K14" s="127"/>
      <c r="L14" s="127"/>
      <c r="M14" s="116"/>
      <c r="N14" s="118"/>
    </row>
    <row r="15" spans="1:14" ht="19.5" customHeight="1" thickTop="1" thickBot="1" x14ac:dyDescent="0.25">
      <c r="A15" s="111"/>
      <c r="B15" s="112"/>
      <c r="C15" s="124" t="s">
        <v>157</v>
      </c>
      <c r="D15" s="125"/>
      <c r="E15" s="75">
        <f ca="1">IFERROR(IF(E14=0,1,ROUND(E13/E14,4)),0)</f>
        <v>0.52029999999999998</v>
      </c>
      <c r="F15" s="81">
        <f t="shared" ref="F15:I15" ca="1" si="0">IFERROR(IF(F14=0,1,ROUND(F13/F14,4)),0)</f>
        <v>0.82369999999999999</v>
      </c>
      <c r="G15" s="81">
        <f t="shared" ca="1" si="0"/>
        <v>0.87919999999999998</v>
      </c>
      <c r="H15" s="81">
        <f t="shared" ca="1" si="0"/>
        <v>0.89600000000000002</v>
      </c>
      <c r="I15" s="82">
        <f t="shared" si="0"/>
        <v>0.9073</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901177.09</v>
      </c>
      <c r="G17" s="57">
        <f ca="1">SUMIFS(LookupData!J$3:J$2682,LookupData!$A$3:$A$2682,$D$4,LookupData!$B$3:$B$2682,$D$8,LookupData!$C$3:$C$2682,$A16)</f>
        <v>1259669.56</v>
      </c>
      <c r="H17" s="57">
        <f ca="1">SUMIFS(LookupData!K$3:K$2682,LookupData!$A$3:$A$2682,$D$4,LookupData!$B$3:$B$2682,$D$8,LookupData!$C$3:$C$2682,$A16)</f>
        <v>1334452.45</v>
      </c>
      <c r="I17" s="32">
        <v>1364896.96</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1605788.95</v>
      </c>
      <c r="G18" s="59">
        <f ca="1">SUMIFS(LookupData!E$3:E$2682,LookupData!$A$3:$A$2682,$D$4,LookupData!$B$3:$B$2682,$D$8,LookupData!$C$3:$C$2682,$A16)</f>
        <v>1542039.65</v>
      </c>
      <c r="H18" s="59">
        <f ca="1">SUMIFS(LookupData!F$3:F$2682,LookupData!$A$3:$A$2682,$D$4,LookupData!$B$3:$B$2682,$D$8,LookupData!$C$3:$C$2682,$A16)</f>
        <v>1537809.65</v>
      </c>
      <c r="I18" s="42">
        <v>1536385.56</v>
      </c>
      <c r="J18" s="48"/>
      <c r="K18" s="141"/>
      <c r="L18" s="143"/>
      <c r="M18" s="152"/>
      <c r="N18" s="153"/>
    </row>
    <row r="19" spans="1:16" ht="20.25" customHeight="1" thickTop="1" thickBot="1" x14ac:dyDescent="0.25">
      <c r="A19" s="134"/>
      <c r="B19" s="135"/>
      <c r="C19" s="136" t="s">
        <v>157</v>
      </c>
      <c r="D19" s="137"/>
      <c r="E19" s="149"/>
      <c r="F19" s="77">
        <f ca="1">IFERROR(IF(F18=0,1,ROUND(F17/F18,4)),0)</f>
        <v>0.56120000000000003</v>
      </c>
      <c r="G19" s="79">
        <f t="shared" ref="G19:J19" ca="1" si="1">IFERROR(IF(G18=0,1,ROUND(G17/G18,4)),0)</f>
        <v>0.81689999999999996</v>
      </c>
      <c r="H19" s="79">
        <f t="shared" ca="1" si="1"/>
        <v>0.86780000000000002</v>
      </c>
      <c r="I19" s="79">
        <f t="shared" si="1"/>
        <v>0.88839999999999997</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814477.07</v>
      </c>
      <c r="H21" s="57">
        <f ca="1">SUMIFS(LookupData!J$3:J$2682,LookupData!$A$3:$A$2682,$D$4,LookupData!$B$3:$B$2682,$D$8,LookupData!$C$3:$C$2682,$A20)</f>
        <v>1176768.3400000001</v>
      </c>
      <c r="I21" s="32">
        <v>1269537.42</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1582989.1</v>
      </c>
      <c r="H22" s="59">
        <f ca="1">SUMIFS(LookupData!E$3:E$2682,LookupData!$A$3:$A$2682,$D$4,LookupData!$B$3:$B$2682,$D$8,LookupData!$C$3:$C$2682,$A20)</f>
        <v>1514036</v>
      </c>
      <c r="I22" s="42">
        <v>1505835</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0.51449999999999996</v>
      </c>
      <c r="H23" s="81">
        <f t="shared" ca="1" si="2"/>
        <v>0.7772</v>
      </c>
      <c r="I23" s="81">
        <f t="shared" si="2"/>
        <v>0.84309999999999996</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803073.73</v>
      </c>
      <c r="I25" s="32">
        <v>1157853.29</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1552587.15</v>
      </c>
      <c r="I26" s="42">
        <v>1476631.3</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0.51719999999999999</v>
      </c>
      <c r="I27" s="79">
        <f t="shared" si="3"/>
        <v>0.78410000000000002</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752557.11</v>
      </c>
      <c r="J29" s="32"/>
      <c r="K29" s="32"/>
      <c r="L29" s="47"/>
      <c r="M29" s="150"/>
      <c r="N29" s="183"/>
      <c r="O29"/>
      <c r="P29"/>
    </row>
    <row r="30" spans="1:16" ht="20.25" customHeight="1" thickBot="1" x14ac:dyDescent="0.25">
      <c r="A30" s="109"/>
      <c r="B30" s="110"/>
      <c r="C30" s="124" t="s">
        <v>156</v>
      </c>
      <c r="D30" s="125"/>
      <c r="E30" s="141"/>
      <c r="F30" s="142"/>
      <c r="G30" s="142"/>
      <c r="H30" s="143"/>
      <c r="I30" s="41">
        <v>1484834.12</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0.50680000000000003</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2p6Ubj1eAolYMXYXga4yf7ji+gG32pulVL84XUZmxmvfZPBNEPUFXhx/dkOxLX0ojE7SPvWL3dY6AbvXYlDVBw==" saltValue="g8fG0sDG5OaSjbOwjVui/A=="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8" priority="19">
      <formula>$I$15&lt;$H$8</formula>
    </cfRule>
  </conditionalFormatting>
  <conditionalFormatting sqref="M16:N19">
    <cfRule type="expression" dxfId="17" priority="18">
      <formula>$J$19&lt;$H$8</formula>
    </cfRule>
  </conditionalFormatting>
  <conditionalFormatting sqref="M20:N23">
    <cfRule type="expression" dxfId="16" priority="17">
      <formula>$K$23&lt;$H$8</formula>
    </cfRule>
  </conditionalFormatting>
  <conditionalFormatting sqref="M24:N27">
    <cfRule type="expression" dxfId="15" priority="16">
      <formula>$L$27&lt;$H$8</formula>
    </cfRule>
  </conditionalFormatting>
  <conditionalFormatting sqref="F14:I14">
    <cfRule type="expression" dxfId="14" priority="15">
      <formula>F14&gt;(MIN($E14:E14))</formula>
    </cfRule>
  </conditionalFormatting>
  <conditionalFormatting sqref="F13:I13">
    <cfRule type="expression" dxfId="13" priority="14">
      <formula>F13&lt;(MAX($E13:E13))</formula>
    </cfRule>
  </conditionalFormatting>
  <conditionalFormatting sqref="G17:J17">
    <cfRule type="expression" dxfId="12" priority="13">
      <formula>G17&lt;(MAX($F17:F17))</formula>
    </cfRule>
  </conditionalFormatting>
  <conditionalFormatting sqref="G18:J18">
    <cfRule type="expression" dxfId="11" priority="12">
      <formula>G18&gt;(MIN($F18:F18))</formula>
    </cfRule>
  </conditionalFormatting>
  <conditionalFormatting sqref="H22:K22">
    <cfRule type="expression" dxfId="10" priority="11">
      <formula>H22&gt;(MIN($G22:G22))</formula>
    </cfRule>
  </conditionalFormatting>
  <conditionalFormatting sqref="H21:K21">
    <cfRule type="expression" dxfId="9" priority="10">
      <formula>H21&lt;(MAX($G21:G21))</formula>
    </cfRule>
  </conditionalFormatting>
  <conditionalFormatting sqref="I26:L26">
    <cfRule type="expression" dxfId="8" priority="9">
      <formula>I26&gt;(MIN($H26:H26))</formula>
    </cfRule>
  </conditionalFormatting>
  <conditionalFormatting sqref="I25:L25">
    <cfRule type="expression" dxfId="7" priority="8">
      <formula>I25&lt;(MAX($H25:H25))</formula>
    </cfRule>
  </conditionalFormatting>
  <conditionalFormatting sqref="J30:L30">
    <cfRule type="expression" dxfId="6" priority="7">
      <formula>J30&gt;(MIN($I30:I30))</formula>
    </cfRule>
  </conditionalFormatting>
  <conditionalFormatting sqref="J29:L29">
    <cfRule type="expression" dxfId="5" priority="6">
      <formula>J29&lt;(MAX($I29:I29))</formula>
    </cfRule>
  </conditionalFormatting>
  <conditionalFormatting sqref="K34:L34">
    <cfRule type="expression" dxfId="4" priority="5">
      <formula>K34&gt;(MIN($J34:J34))</formula>
    </cfRule>
  </conditionalFormatting>
  <conditionalFormatting sqref="K33:L33">
    <cfRule type="expression" dxfId="3" priority="4">
      <formula>K33&lt;(MAX($J33:J33))</formula>
    </cfRule>
  </conditionalFormatting>
  <conditionalFormatting sqref="L38">
    <cfRule type="expression" dxfId="2" priority="3">
      <formula>L38&gt;(MIN($G38:K38))</formula>
    </cfRule>
  </conditionalFormatting>
  <conditionalFormatting sqref="L37">
    <cfRule type="expression" dxfId="1" priority="2">
      <formula>L37&lt;(MAX($K37:K37))</formula>
    </cfRule>
  </conditionalFormatting>
  <conditionalFormatting sqref="I15 J19 K23 L27">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topLeftCell="J1" workbookViewId="0">
      <selection activeCell="AA6" sqref="AA6"/>
    </sheetView>
  </sheetViews>
  <sheetFormatPr defaultRowHeight="12.75" x14ac:dyDescent="0.2"/>
  <cols>
    <col min="1" max="1" width="12.28515625" customWidth="1"/>
    <col min="3" max="3" width="11.85546875" bestFit="1" customWidth="1"/>
    <col min="5" max="5" width="10.42578125" customWidth="1"/>
    <col min="6" max="6" width="14.7109375" customWidth="1"/>
    <col min="7" max="8" width="10.7109375" customWidth="1"/>
    <col min="9" max="9" width="12.42578125" customWidth="1"/>
    <col min="10" max="10" width="11" bestFit="1" customWidth="1"/>
  </cols>
  <sheetData>
    <row r="2" spans="1:28" ht="40.5" x14ac:dyDescent="0.25">
      <c r="A2" s="5" t="s">
        <v>182</v>
      </c>
      <c r="B2" s="5" t="s">
        <v>183</v>
      </c>
      <c r="C2" s="5" t="s">
        <v>184</v>
      </c>
      <c r="D2" s="5" t="s">
        <v>185</v>
      </c>
      <c r="E2" s="5" t="s">
        <v>186</v>
      </c>
      <c r="F2" s="5" t="s">
        <v>187</v>
      </c>
      <c r="G2" s="5" t="s">
        <v>188</v>
      </c>
      <c r="H2" s="5" t="s">
        <v>189</v>
      </c>
      <c r="I2" s="5" t="s">
        <v>190</v>
      </c>
      <c r="J2" s="5" t="s">
        <v>191</v>
      </c>
      <c r="K2" s="5" t="s">
        <v>192</v>
      </c>
      <c r="L2" s="5" t="s">
        <v>193</v>
      </c>
      <c r="M2" s="5" t="s">
        <v>194</v>
      </c>
      <c r="O2" s="68" t="s">
        <v>74</v>
      </c>
      <c r="P2" s="68" t="s">
        <v>75</v>
      </c>
      <c r="Q2" s="68" t="s">
        <v>76</v>
      </c>
      <c r="R2" s="68" t="s">
        <v>77</v>
      </c>
      <c r="S2" s="68" t="s">
        <v>78</v>
      </c>
      <c r="T2" s="5" t="s">
        <v>84</v>
      </c>
      <c r="U2" s="5" t="s">
        <v>135</v>
      </c>
      <c r="V2" s="5" t="s">
        <v>132</v>
      </c>
      <c r="W2" s="5" t="s">
        <v>133</v>
      </c>
      <c r="X2" s="5" t="s">
        <v>134</v>
      </c>
      <c r="Y2" s="5" t="s">
        <v>149</v>
      </c>
      <c r="Z2" s="5" t="s">
        <v>143</v>
      </c>
      <c r="AA2" s="5" t="s">
        <v>144</v>
      </c>
      <c r="AB2" s="5" t="s">
        <v>160</v>
      </c>
    </row>
    <row r="3" spans="1:28" ht="13.5" x14ac:dyDescent="0.25">
      <c r="A3" t="s">
        <v>2</v>
      </c>
      <c r="B3" t="s">
        <v>109</v>
      </c>
      <c r="C3" t="s">
        <v>195</v>
      </c>
      <c r="D3">
        <v>548672.36</v>
      </c>
      <c r="E3">
        <v>540991.26</v>
      </c>
      <c r="F3">
        <v>537831.56000000006</v>
      </c>
      <c r="G3">
        <v>537281.56000000006</v>
      </c>
      <c r="I3">
        <v>70090.960000000006</v>
      </c>
      <c r="J3">
        <v>84200.29</v>
      </c>
      <c r="K3">
        <v>92706.22</v>
      </c>
      <c r="L3">
        <v>99243.21</v>
      </c>
      <c r="O3" s="69">
        <v>1</v>
      </c>
      <c r="P3" s="69">
        <v>1</v>
      </c>
      <c r="Q3" s="69" t="s">
        <v>2</v>
      </c>
      <c r="R3" s="69" t="s">
        <v>2</v>
      </c>
      <c r="S3" s="69" t="s">
        <v>2</v>
      </c>
      <c r="T3" s="2">
        <v>1</v>
      </c>
      <c r="U3" s="2" t="s">
        <v>136</v>
      </c>
      <c r="V3" s="2">
        <v>1718</v>
      </c>
      <c r="W3" s="2" t="str">
        <f>"CGE CQ1-"&amp;RIGHT(V$3,2)</f>
        <v>CGE CQ1-18</v>
      </c>
      <c r="X3" s="2" t="str">
        <f>"RPE 12/31/"&amp;LEFT(V$3-101,2)</f>
        <v>RPE 12/31/16</v>
      </c>
      <c r="Y3" t="str">
        <f>"10/01/"&amp;LEFT(V3-101,2)&amp;" - 12/31/"&amp;LEFT(V3-101,2)</f>
        <v>10/01/16 - 12/31/16</v>
      </c>
      <c r="Z3" t="s">
        <v>109</v>
      </c>
      <c r="AA3" s="36">
        <v>0.09</v>
      </c>
      <c r="AB3" s="60" t="s">
        <v>161</v>
      </c>
    </row>
    <row r="4" spans="1:28" ht="13.5" x14ac:dyDescent="0.25">
      <c r="A4" t="s">
        <v>2</v>
      </c>
      <c r="B4" t="s">
        <v>109</v>
      </c>
      <c r="C4" t="s">
        <v>196</v>
      </c>
      <c r="D4">
        <v>546290.54</v>
      </c>
      <c r="E4">
        <v>608030.64</v>
      </c>
      <c r="F4">
        <v>606290.62</v>
      </c>
      <c r="I4">
        <v>61357.84</v>
      </c>
      <c r="J4">
        <v>72445.740000000005</v>
      </c>
      <c r="K4">
        <v>83714.78</v>
      </c>
      <c r="O4" s="69">
        <v>2</v>
      </c>
      <c r="P4" s="69">
        <v>1</v>
      </c>
      <c r="Q4" s="69" t="s">
        <v>4</v>
      </c>
      <c r="R4" s="69" t="s">
        <v>4</v>
      </c>
      <c r="S4" s="69" t="s">
        <v>4</v>
      </c>
      <c r="T4" s="2">
        <v>2</v>
      </c>
      <c r="U4" s="2" t="s">
        <v>137</v>
      </c>
      <c r="V4" s="2"/>
      <c r="W4" s="2" t="str">
        <f>"CGE CQ2-"&amp;RIGHT(V$3,2)</f>
        <v>CGE CQ2-18</v>
      </c>
      <c r="X4" s="2" t="str">
        <f>"RPE 03/31/"&amp;LEFT(V$3,2)</f>
        <v>RPE 03/31/17</v>
      </c>
      <c r="Y4" t="str">
        <f>"01/01/"&amp;LEFT(V3,2)&amp;" - 03/31/"&amp;LEFT(V3,2)</f>
        <v>01/01/17 - 03/31/17</v>
      </c>
      <c r="Z4" t="s">
        <v>145</v>
      </c>
      <c r="AA4" s="37">
        <v>0</v>
      </c>
      <c r="AB4" s="60" t="s">
        <v>162</v>
      </c>
    </row>
    <row r="5" spans="1:28" ht="13.5" x14ac:dyDescent="0.25">
      <c r="A5" t="s">
        <v>2</v>
      </c>
      <c r="B5" t="s">
        <v>109</v>
      </c>
      <c r="C5" t="s">
        <v>197</v>
      </c>
      <c r="D5">
        <v>413091.2</v>
      </c>
      <c r="E5">
        <v>411807.3</v>
      </c>
      <c r="I5">
        <v>58156.42</v>
      </c>
      <c r="J5">
        <v>67659.78</v>
      </c>
      <c r="O5" s="69">
        <v>3</v>
      </c>
      <c r="P5" s="69">
        <v>1</v>
      </c>
      <c r="Q5" s="69" t="s">
        <v>5</v>
      </c>
      <c r="R5" s="69" t="s">
        <v>5</v>
      </c>
      <c r="S5" s="69" t="s">
        <v>5</v>
      </c>
      <c r="T5" s="2">
        <v>3</v>
      </c>
      <c r="U5" s="2" t="s">
        <v>138</v>
      </c>
      <c r="V5" s="2"/>
      <c r="W5" s="2" t="str">
        <f>"CGE CQ3-"&amp;RIGHT(V$3,2)</f>
        <v>CGE CQ3-18</v>
      </c>
      <c r="X5" s="2" t="str">
        <f>"RPE 06/30/"&amp;LEFT(V$3,2)</f>
        <v>RPE 06/30/17</v>
      </c>
      <c r="Y5" t="str">
        <f>"04/01/"&amp;LEFT(V3,2)&amp;" - 06/30/"&amp;LEFT(V3,2)</f>
        <v>04/01/17 - 06/30/17</v>
      </c>
      <c r="Z5" t="s">
        <v>110</v>
      </c>
      <c r="AA5" s="37">
        <v>0.4</v>
      </c>
    </row>
    <row r="6" spans="1:28" ht="13.5" x14ac:dyDescent="0.25">
      <c r="A6" t="s">
        <v>2</v>
      </c>
      <c r="B6" t="s">
        <v>109</v>
      </c>
      <c r="C6" t="s">
        <v>198</v>
      </c>
      <c r="D6">
        <v>449235.09</v>
      </c>
      <c r="I6">
        <v>38055.370000000003</v>
      </c>
      <c r="O6" s="69">
        <v>4</v>
      </c>
      <c r="P6" s="69">
        <v>1</v>
      </c>
      <c r="Q6" s="69" t="s">
        <v>6</v>
      </c>
      <c r="R6" s="69" t="s">
        <v>6</v>
      </c>
      <c r="S6" s="69" t="s">
        <v>6</v>
      </c>
      <c r="T6" s="2">
        <v>4</v>
      </c>
      <c r="U6" s="2" t="s">
        <v>139</v>
      </c>
      <c r="V6" s="2"/>
      <c r="W6" s="2" t="str">
        <f>"CGE CQ4-"&amp;RIGHT(V$3,2)</f>
        <v>CGE CQ4-18</v>
      </c>
      <c r="X6" s="2" t="str">
        <f>"RPE 09/30/"&amp;LEFT(V$3,2)</f>
        <v>RPE 09/30/17</v>
      </c>
      <c r="Y6" t="str">
        <f>"07/01/"&amp;LEFT(V3,2)&amp;" - 09/30/"&amp;LEFT(V3,2)</f>
        <v>07/01/17 - 09/30/17</v>
      </c>
      <c r="Z6" t="s">
        <v>116</v>
      </c>
      <c r="AA6" s="37">
        <v>0.09</v>
      </c>
    </row>
    <row r="7" spans="1:28" ht="13.5" x14ac:dyDescent="0.25">
      <c r="A7" t="s">
        <v>2</v>
      </c>
      <c r="B7" t="s">
        <v>145</v>
      </c>
      <c r="C7" t="s">
        <v>195</v>
      </c>
      <c r="D7">
        <v>159654</v>
      </c>
      <c r="E7">
        <v>159654</v>
      </c>
      <c r="F7">
        <v>159704</v>
      </c>
      <c r="G7">
        <v>159704</v>
      </c>
      <c r="I7">
        <v>5</v>
      </c>
      <c r="J7">
        <v>5</v>
      </c>
      <c r="K7">
        <v>5</v>
      </c>
      <c r="L7">
        <v>5</v>
      </c>
      <c r="O7" s="69">
        <v>5</v>
      </c>
      <c r="P7" s="69">
        <v>1</v>
      </c>
      <c r="Q7" s="69" t="s">
        <v>7</v>
      </c>
      <c r="R7" s="69" t="s">
        <v>7</v>
      </c>
      <c r="S7" s="69" t="s">
        <v>7</v>
      </c>
      <c r="T7" s="2">
        <v>5</v>
      </c>
      <c r="U7" s="2"/>
      <c r="V7" s="2"/>
      <c r="W7" s="2" t="str">
        <f>"CGE CQ1-"&amp;RIGHT(V$3+101,2)</f>
        <v>CGE CQ1-19</v>
      </c>
      <c r="X7" s="2" t="str">
        <f>"RPE 12/31/"&amp;LEFT(V$3,2)</f>
        <v>RPE 12/31/17</v>
      </c>
      <c r="Y7" t="str">
        <f>"10/01/"&amp;LEFT(V3,2)&amp;" - 12/31/"&amp;LEFT(V3,2)</f>
        <v>10/01/17 - 12/31/17</v>
      </c>
      <c r="Z7" t="s">
        <v>114</v>
      </c>
      <c r="AA7" s="37">
        <v>0.4</v>
      </c>
    </row>
    <row r="8" spans="1:28" ht="13.5" x14ac:dyDescent="0.25">
      <c r="A8" t="s">
        <v>2</v>
      </c>
      <c r="B8" t="s">
        <v>145</v>
      </c>
      <c r="C8" t="s">
        <v>196</v>
      </c>
      <c r="D8">
        <v>107197</v>
      </c>
      <c r="E8">
        <v>159699</v>
      </c>
      <c r="F8">
        <v>159749</v>
      </c>
      <c r="I8">
        <v>0</v>
      </c>
      <c r="J8">
        <v>0</v>
      </c>
      <c r="K8">
        <v>0</v>
      </c>
      <c r="O8" s="69">
        <v>6</v>
      </c>
      <c r="P8" s="69">
        <v>1</v>
      </c>
      <c r="Q8" s="69" t="s">
        <v>8</v>
      </c>
      <c r="R8" s="69" t="s">
        <v>8</v>
      </c>
      <c r="S8" s="69" t="s">
        <v>8</v>
      </c>
      <c r="T8" s="2">
        <v>6</v>
      </c>
      <c r="U8" s="2"/>
      <c r="V8" s="2"/>
      <c r="W8" s="2" t="str">
        <f>"CGE CQ2-"&amp;RIGHT(V$3+101,2)</f>
        <v>CGE CQ2-19</v>
      </c>
      <c r="X8" s="2" t="str">
        <f>"RPE 03/31/"&amp;RIGHT(V$3,2)</f>
        <v>RPE 03/31/18</v>
      </c>
      <c r="Y8" t="str">
        <f>"01/01/"&amp;LEFT(V3+101,2)&amp;" - 03/31/"&amp;LEFT(V3+101,2)</f>
        <v>01/01/18 - 03/31/18</v>
      </c>
      <c r="Z8" t="s">
        <v>111</v>
      </c>
      <c r="AA8" s="37">
        <v>0.9</v>
      </c>
    </row>
    <row r="9" spans="1:28" ht="13.5" x14ac:dyDescent="0.25">
      <c r="A9" t="s">
        <v>2</v>
      </c>
      <c r="B9" t="s">
        <v>145</v>
      </c>
      <c r="C9" t="s">
        <v>197</v>
      </c>
      <c r="D9">
        <v>821</v>
      </c>
      <c r="E9">
        <v>854</v>
      </c>
      <c r="I9">
        <v>0</v>
      </c>
      <c r="J9">
        <v>33</v>
      </c>
      <c r="O9" s="69">
        <v>7</v>
      </c>
      <c r="P9" s="69">
        <v>1</v>
      </c>
      <c r="Q9" s="69" t="s">
        <v>9</v>
      </c>
      <c r="R9" s="69" t="s">
        <v>9</v>
      </c>
      <c r="S9" s="69" t="s">
        <v>9</v>
      </c>
      <c r="T9" s="2">
        <v>7</v>
      </c>
      <c r="U9" s="2"/>
      <c r="V9" s="2"/>
      <c r="W9" s="2" t="str">
        <f>"CGE CQ3-"&amp;RIGHT(V$3+101,2)</f>
        <v>CGE CQ3-19</v>
      </c>
      <c r="X9" s="2" t="str">
        <f>"RPE 06/30/"&amp;RIGHT(V$3,2)</f>
        <v>RPE 06/30/18</v>
      </c>
      <c r="Y9" t="str">
        <f>"04/01/"&amp;LEFT(V3+101,2)&amp;" - 06/30/"&amp;LEFT(V3+101,2)</f>
        <v>04/01/18 - 06/30/18</v>
      </c>
      <c r="Z9" t="s">
        <v>112</v>
      </c>
      <c r="AA9" s="37">
        <v>0.9</v>
      </c>
    </row>
    <row r="10" spans="1:28" ht="13.5" x14ac:dyDescent="0.25">
      <c r="A10" t="s">
        <v>2</v>
      </c>
      <c r="B10" t="s">
        <v>145</v>
      </c>
      <c r="C10" t="s">
        <v>198</v>
      </c>
      <c r="D10">
        <v>53901</v>
      </c>
      <c r="I10">
        <v>105</v>
      </c>
      <c r="O10" s="69">
        <v>8</v>
      </c>
      <c r="P10" s="69">
        <v>1</v>
      </c>
      <c r="Q10" s="69" t="s">
        <v>10</v>
      </c>
      <c r="R10" s="69" t="s">
        <v>10</v>
      </c>
      <c r="S10" s="69" t="s">
        <v>10</v>
      </c>
      <c r="T10" s="2">
        <v>8</v>
      </c>
      <c r="U10" s="2"/>
      <c r="V10" s="2"/>
      <c r="W10" s="2" t="str">
        <f>"CGE CQ4-"&amp;RIGHT(V$3+101,2)</f>
        <v>CGE CQ4-19</v>
      </c>
      <c r="X10" s="2" t="str">
        <f>"RPE 09/30/"&amp;RIGHT(V$3,2)</f>
        <v>RPE 09/30/18</v>
      </c>
      <c r="Y10" t="str">
        <f>"07/01/"&amp;LEFT(V3+101,2)&amp;" - 09/30/"&amp;LEFT(V3+101,2)</f>
        <v>07/01/18 - 09/30/18</v>
      </c>
      <c r="Z10" t="s">
        <v>115</v>
      </c>
      <c r="AA10" s="37">
        <v>0.9</v>
      </c>
    </row>
    <row r="11" spans="1:28" ht="13.5" x14ac:dyDescent="0.25">
      <c r="A11" t="s">
        <v>2</v>
      </c>
      <c r="B11" t="s">
        <v>110</v>
      </c>
      <c r="C11" t="s">
        <v>195</v>
      </c>
      <c r="D11">
        <v>195624.05</v>
      </c>
      <c r="E11">
        <v>189045.05</v>
      </c>
      <c r="F11">
        <v>186764.05</v>
      </c>
      <c r="G11">
        <v>183586.55</v>
      </c>
      <c r="I11">
        <v>43595.98</v>
      </c>
      <c r="J11">
        <v>61376.54</v>
      </c>
      <c r="K11">
        <v>73794.320000000007</v>
      </c>
      <c r="L11">
        <v>78193.210000000006</v>
      </c>
      <c r="O11" s="69">
        <v>9</v>
      </c>
      <c r="P11" s="69">
        <v>1</v>
      </c>
      <c r="Q11" s="69" t="s">
        <v>11</v>
      </c>
      <c r="R11" s="69" t="s">
        <v>11</v>
      </c>
      <c r="S11" s="69" t="s">
        <v>11</v>
      </c>
      <c r="T11" s="2">
        <v>9</v>
      </c>
      <c r="U11" s="2"/>
      <c r="V11" s="2"/>
      <c r="W11" s="2"/>
      <c r="X11" s="2"/>
      <c r="Z11" t="s">
        <v>113</v>
      </c>
      <c r="AA11" s="37">
        <v>0.9</v>
      </c>
    </row>
    <row r="12" spans="1:28" ht="13.5" x14ac:dyDescent="0.25">
      <c r="A12" t="s">
        <v>2</v>
      </c>
      <c r="B12" t="s">
        <v>110</v>
      </c>
      <c r="C12" t="s">
        <v>196</v>
      </c>
      <c r="D12">
        <v>174151.65</v>
      </c>
      <c r="E12">
        <v>170386.65</v>
      </c>
      <c r="F12">
        <v>168467.65</v>
      </c>
      <c r="I12">
        <v>33253.269999999997</v>
      </c>
      <c r="J12">
        <v>49861.93</v>
      </c>
      <c r="K12">
        <v>58396.15</v>
      </c>
      <c r="O12" s="69">
        <v>10</v>
      </c>
      <c r="P12" s="69">
        <v>1</v>
      </c>
      <c r="Q12" s="69" t="s">
        <v>12</v>
      </c>
      <c r="R12" s="69" t="s">
        <v>12</v>
      </c>
      <c r="S12" s="69" t="s">
        <v>12</v>
      </c>
      <c r="T12" s="2">
        <v>10</v>
      </c>
      <c r="U12" s="2"/>
      <c r="V12" s="2"/>
      <c r="W12" s="2"/>
      <c r="X12" s="2"/>
      <c r="Z12" t="s">
        <v>72</v>
      </c>
      <c r="AA12" s="37">
        <v>0.75</v>
      </c>
    </row>
    <row r="13" spans="1:28" ht="13.5" x14ac:dyDescent="0.25">
      <c r="A13" t="s">
        <v>2</v>
      </c>
      <c r="B13" t="s">
        <v>110</v>
      </c>
      <c r="C13" t="s">
        <v>197</v>
      </c>
      <c r="D13">
        <v>199535.01</v>
      </c>
      <c r="E13">
        <v>195454.01</v>
      </c>
      <c r="I13">
        <v>46233.4</v>
      </c>
      <c r="J13">
        <v>63009.06</v>
      </c>
      <c r="O13" s="69">
        <v>11</v>
      </c>
      <c r="P13" s="69">
        <v>1</v>
      </c>
      <c r="Q13" s="69" t="s">
        <v>13</v>
      </c>
      <c r="R13" s="69" t="s">
        <v>13</v>
      </c>
      <c r="S13" s="69" t="s">
        <v>13</v>
      </c>
      <c r="T13" s="2">
        <v>11</v>
      </c>
      <c r="U13" s="2"/>
      <c r="V13" s="2"/>
      <c r="W13" s="2"/>
      <c r="X13" s="2"/>
    </row>
    <row r="14" spans="1:28" ht="13.5" x14ac:dyDescent="0.25">
      <c r="A14" t="s">
        <v>2</v>
      </c>
      <c r="B14" t="s">
        <v>110</v>
      </c>
      <c r="C14" t="s">
        <v>198</v>
      </c>
      <c r="D14">
        <v>167697.64000000001</v>
      </c>
      <c r="I14">
        <v>37598.14</v>
      </c>
      <c r="O14" s="69">
        <v>12</v>
      </c>
      <c r="P14" s="69">
        <v>1</v>
      </c>
      <c r="Q14" s="69" t="s">
        <v>14</v>
      </c>
      <c r="R14" s="69" t="s">
        <v>14</v>
      </c>
      <c r="S14" s="69" t="s">
        <v>14</v>
      </c>
      <c r="T14" s="2">
        <v>12</v>
      </c>
      <c r="U14" s="2"/>
      <c r="V14" s="2"/>
      <c r="W14" s="2"/>
      <c r="X14" s="2"/>
    </row>
    <row r="15" spans="1:28" ht="13.5" x14ac:dyDescent="0.25">
      <c r="A15" t="s">
        <v>2</v>
      </c>
      <c r="B15" t="s">
        <v>116</v>
      </c>
      <c r="C15" t="s">
        <v>195</v>
      </c>
      <c r="D15">
        <v>27765.5</v>
      </c>
      <c r="E15">
        <v>27765.5</v>
      </c>
      <c r="F15">
        <v>26965.5</v>
      </c>
      <c r="G15">
        <v>26965.5</v>
      </c>
      <c r="I15">
        <v>275.5</v>
      </c>
      <c r="J15">
        <v>775.5</v>
      </c>
      <c r="K15">
        <v>875.5</v>
      </c>
      <c r="L15">
        <v>1025.5</v>
      </c>
      <c r="O15" s="69">
        <v>13</v>
      </c>
      <c r="P15" s="69">
        <v>1</v>
      </c>
      <c r="Q15" s="69" t="s">
        <v>15</v>
      </c>
      <c r="R15" s="69" t="s">
        <v>79</v>
      </c>
      <c r="S15" s="69" t="s">
        <v>79</v>
      </c>
      <c r="T15" s="2">
        <v>13</v>
      </c>
      <c r="U15" s="2"/>
      <c r="V15" s="2"/>
      <c r="W15" s="2"/>
      <c r="X15" s="2"/>
    </row>
    <row r="16" spans="1:28" ht="13.5" x14ac:dyDescent="0.25">
      <c r="A16" t="s">
        <v>2</v>
      </c>
      <c r="B16" t="s">
        <v>116</v>
      </c>
      <c r="C16" t="s">
        <v>196</v>
      </c>
      <c r="D16">
        <v>35497.61</v>
      </c>
      <c r="E16">
        <v>35489</v>
      </c>
      <c r="F16">
        <v>35189</v>
      </c>
      <c r="I16">
        <v>657.61</v>
      </c>
      <c r="J16">
        <v>899</v>
      </c>
      <c r="K16">
        <v>899</v>
      </c>
      <c r="O16" s="69">
        <v>14</v>
      </c>
      <c r="P16" s="69">
        <v>1</v>
      </c>
      <c r="Q16" s="69" t="s">
        <v>16</v>
      </c>
      <c r="R16" s="69" t="s">
        <v>16</v>
      </c>
      <c r="S16" s="69" t="s">
        <v>16</v>
      </c>
      <c r="T16" s="2">
        <v>14</v>
      </c>
      <c r="U16" s="2"/>
      <c r="V16" s="2"/>
      <c r="W16" s="2"/>
      <c r="X16" s="2"/>
    </row>
    <row r="17" spans="1:24" ht="13.5" x14ac:dyDescent="0.25">
      <c r="A17" t="s">
        <v>2</v>
      </c>
      <c r="B17" t="s">
        <v>116</v>
      </c>
      <c r="C17" t="s">
        <v>197</v>
      </c>
      <c r="D17">
        <v>31742.5</v>
      </c>
      <c r="E17">
        <v>31742.5</v>
      </c>
      <c r="I17">
        <v>404.5</v>
      </c>
      <c r="J17">
        <v>554.5</v>
      </c>
      <c r="O17" s="69">
        <v>15</v>
      </c>
      <c r="P17" s="69">
        <v>1</v>
      </c>
      <c r="Q17" s="69" t="s">
        <v>17</v>
      </c>
      <c r="R17" s="69" t="s">
        <v>17</v>
      </c>
      <c r="S17" s="69" t="s">
        <v>17</v>
      </c>
      <c r="T17" s="2">
        <v>15</v>
      </c>
      <c r="U17" s="2"/>
      <c r="V17" s="2"/>
      <c r="W17" s="2"/>
      <c r="X17" s="2"/>
    </row>
    <row r="18" spans="1:24" ht="13.5" x14ac:dyDescent="0.25">
      <c r="A18" t="s">
        <v>2</v>
      </c>
      <c r="B18" t="s">
        <v>116</v>
      </c>
      <c r="C18" t="s">
        <v>198</v>
      </c>
      <c r="D18">
        <v>34188.550000000003</v>
      </c>
      <c r="I18">
        <v>815.55</v>
      </c>
      <c r="O18" s="69">
        <v>16</v>
      </c>
      <c r="P18" s="69">
        <v>1</v>
      </c>
      <c r="Q18" s="69" t="s">
        <v>18</v>
      </c>
      <c r="R18" s="69" t="s">
        <v>18</v>
      </c>
      <c r="S18" s="69" t="s">
        <v>18</v>
      </c>
    </row>
    <row r="19" spans="1:24" ht="13.5" x14ac:dyDescent="0.25">
      <c r="A19" t="s">
        <v>2</v>
      </c>
      <c r="B19" t="s">
        <v>114</v>
      </c>
      <c r="C19" t="s">
        <v>195</v>
      </c>
      <c r="D19">
        <v>255234.49</v>
      </c>
      <c r="E19">
        <v>250628.49</v>
      </c>
      <c r="F19">
        <v>245807.49</v>
      </c>
      <c r="G19">
        <v>240940.99</v>
      </c>
      <c r="I19">
        <v>59498.25</v>
      </c>
      <c r="J19">
        <v>96512.75</v>
      </c>
      <c r="K19">
        <v>121644.97</v>
      </c>
      <c r="L19">
        <v>140184.23000000001</v>
      </c>
      <c r="O19" s="69">
        <v>17</v>
      </c>
      <c r="P19" s="69">
        <v>1</v>
      </c>
      <c r="Q19" s="69" t="s">
        <v>19</v>
      </c>
      <c r="R19" s="69" t="s">
        <v>19</v>
      </c>
      <c r="S19" s="69" t="s">
        <v>19</v>
      </c>
    </row>
    <row r="20" spans="1:24" ht="13.5" x14ac:dyDescent="0.25">
      <c r="A20" t="s">
        <v>2</v>
      </c>
      <c r="B20" t="s">
        <v>114</v>
      </c>
      <c r="C20" t="s">
        <v>196</v>
      </c>
      <c r="D20">
        <v>238615.89</v>
      </c>
      <c r="E20">
        <v>233537.89</v>
      </c>
      <c r="F20">
        <v>228933.89</v>
      </c>
      <c r="I20">
        <v>75025.88</v>
      </c>
      <c r="J20">
        <v>101605.89</v>
      </c>
      <c r="K20">
        <v>117620.15</v>
      </c>
      <c r="O20" s="69">
        <v>18</v>
      </c>
      <c r="P20" s="69">
        <v>1</v>
      </c>
      <c r="Q20" s="69" t="s">
        <v>20</v>
      </c>
      <c r="R20" s="69" t="s">
        <v>20</v>
      </c>
      <c r="S20" s="69" t="s">
        <v>20</v>
      </c>
    </row>
    <row r="21" spans="1:24" ht="13.5" x14ac:dyDescent="0.25">
      <c r="A21" t="s">
        <v>2</v>
      </c>
      <c r="B21" t="s">
        <v>114</v>
      </c>
      <c r="C21" t="s">
        <v>197</v>
      </c>
      <c r="D21">
        <v>276160.81</v>
      </c>
      <c r="E21">
        <v>274175.81</v>
      </c>
      <c r="I21">
        <v>70380.03</v>
      </c>
      <c r="J21">
        <v>105405.19</v>
      </c>
      <c r="O21" s="69">
        <v>19</v>
      </c>
      <c r="P21" s="69">
        <v>1</v>
      </c>
      <c r="Q21" s="69" t="s">
        <v>21</v>
      </c>
      <c r="R21" s="69" t="s">
        <v>21</v>
      </c>
      <c r="S21" s="69" t="s">
        <v>21</v>
      </c>
    </row>
    <row r="22" spans="1:24" ht="13.5" x14ac:dyDescent="0.25">
      <c r="A22" t="s">
        <v>2</v>
      </c>
      <c r="B22" t="s">
        <v>114</v>
      </c>
      <c r="C22" t="s">
        <v>198</v>
      </c>
      <c r="D22">
        <v>296000.32</v>
      </c>
      <c r="I22">
        <v>53988.959999999999</v>
      </c>
      <c r="O22" s="69">
        <v>20</v>
      </c>
      <c r="P22" s="69">
        <v>1</v>
      </c>
      <c r="Q22" s="69" t="s">
        <v>22</v>
      </c>
      <c r="R22" s="69" t="s">
        <v>22</v>
      </c>
      <c r="S22" s="69" t="s">
        <v>22</v>
      </c>
    </row>
    <row r="23" spans="1:24" ht="13.5" x14ac:dyDescent="0.25">
      <c r="A23" t="s">
        <v>2</v>
      </c>
      <c r="B23" t="s">
        <v>111</v>
      </c>
      <c r="C23" t="s">
        <v>195</v>
      </c>
      <c r="D23">
        <v>393213.79</v>
      </c>
      <c r="E23">
        <v>392506.79</v>
      </c>
      <c r="F23">
        <v>392506.79</v>
      </c>
      <c r="G23">
        <v>392618.79</v>
      </c>
      <c r="I23">
        <v>390452.79</v>
      </c>
      <c r="J23">
        <v>391269.79</v>
      </c>
      <c r="K23">
        <v>391309.79</v>
      </c>
      <c r="L23">
        <v>391421.79</v>
      </c>
      <c r="O23" s="69">
        <v>21</v>
      </c>
      <c r="P23" s="69">
        <v>1</v>
      </c>
      <c r="Q23" s="69" t="s">
        <v>23</v>
      </c>
      <c r="R23" s="69" t="s">
        <v>23</v>
      </c>
      <c r="S23" s="69" t="s">
        <v>23</v>
      </c>
    </row>
    <row r="24" spans="1:24" ht="13.5" x14ac:dyDescent="0.25">
      <c r="A24" t="s">
        <v>2</v>
      </c>
      <c r="B24" t="s">
        <v>111</v>
      </c>
      <c r="C24" t="s">
        <v>196</v>
      </c>
      <c r="D24">
        <v>379200.98</v>
      </c>
      <c r="E24">
        <v>396241.78</v>
      </c>
      <c r="F24">
        <v>395841.78</v>
      </c>
      <c r="I24">
        <v>391632.78</v>
      </c>
      <c r="J24">
        <v>393809.78</v>
      </c>
      <c r="K24">
        <v>393809.78</v>
      </c>
      <c r="O24" s="69">
        <v>22</v>
      </c>
      <c r="P24" s="69">
        <v>1</v>
      </c>
      <c r="Q24" s="69" t="s">
        <v>24</v>
      </c>
      <c r="R24" s="69" t="s">
        <v>24</v>
      </c>
      <c r="S24" s="69" t="s">
        <v>24</v>
      </c>
    </row>
    <row r="25" spans="1:24" ht="13.5" x14ac:dyDescent="0.25">
      <c r="A25" t="s">
        <v>2</v>
      </c>
      <c r="B25" t="s">
        <v>111</v>
      </c>
      <c r="C25" t="s">
        <v>197</v>
      </c>
      <c r="D25">
        <v>405096.56</v>
      </c>
      <c r="E25">
        <v>404149.06</v>
      </c>
      <c r="I25">
        <v>396751.56</v>
      </c>
      <c r="J25">
        <v>401032.56</v>
      </c>
      <c r="O25" s="69">
        <v>23</v>
      </c>
      <c r="P25" s="69">
        <v>1</v>
      </c>
      <c r="Q25" s="69" t="s">
        <v>25</v>
      </c>
      <c r="R25" s="69" t="s">
        <v>25</v>
      </c>
      <c r="S25" s="69" t="s">
        <v>25</v>
      </c>
    </row>
    <row r="26" spans="1:24" ht="13.5" x14ac:dyDescent="0.25">
      <c r="A26" t="s">
        <v>2</v>
      </c>
      <c r="B26" t="s">
        <v>111</v>
      </c>
      <c r="C26" t="s">
        <v>198</v>
      </c>
      <c r="D26">
        <v>358585.54</v>
      </c>
      <c r="I26">
        <v>350928.84</v>
      </c>
      <c r="O26" s="69">
        <v>24</v>
      </c>
      <c r="P26" s="69">
        <v>1</v>
      </c>
      <c r="Q26" s="69" t="s">
        <v>26</v>
      </c>
      <c r="R26" s="69" t="s">
        <v>26</v>
      </c>
      <c r="S26" s="69" t="s">
        <v>26</v>
      </c>
    </row>
    <row r="27" spans="1:24" ht="13.5" x14ac:dyDescent="0.25">
      <c r="A27" t="s">
        <v>2</v>
      </c>
      <c r="B27" t="s">
        <v>112</v>
      </c>
      <c r="C27" t="s">
        <v>195</v>
      </c>
      <c r="D27">
        <v>229553.28</v>
      </c>
      <c r="E27">
        <v>229393.28</v>
      </c>
      <c r="F27">
        <v>229403.28</v>
      </c>
      <c r="G27">
        <v>229403.28</v>
      </c>
      <c r="I27">
        <v>228833.1</v>
      </c>
      <c r="J27">
        <v>229108.1</v>
      </c>
      <c r="K27">
        <v>229108.1</v>
      </c>
      <c r="L27">
        <v>229108.1</v>
      </c>
      <c r="O27" s="69">
        <v>25</v>
      </c>
      <c r="P27" s="69">
        <v>1</v>
      </c>
      <c r="Q27" s="69" t="s">
        <v>27</v>
      </c>
      <c r="R27" s="69" t="s">
        <v>27</v>
      </c>
      <c r="S27" s="69" t="s">
        <v>27</v>
      </c>
    </row>
    <row r="28" spans="1:24" ht="13.5" x14ac:dyDescent="0.25">
      <c r="A28" t="s">
        <v>2</v>
      </c>
      <c r="B28" t="s">
        <v>112</v>
      </c>
      <c r="C28" t="s">
        <v>196</v>
      </c>
      <c r="D28">
        <v>264632.62</v>
      </c>
      <c r="E28">
        <v>264272.62</v>
      </c>
      <c r="F28">
        <v>263962.62</v>
      </c>
      <c r="I28">
        <v>263331.98</v>
      </c>
      <c r="J28">
        <v>264163.12</v>
      </c>
      <c r="K28">
        <v>263943.12</v>
      </c>
      <c r="O28" s="69">
        <v>26</v>
      </c>
      <c r="P28" s="69">
        <v>1</v>
      </c>
      <c r="Q28" s="69" t="s">
        <v>28</v>
      </c>
      <c r="R28" s="69" t="s">
        <v>28</v>
      </c>
      <c r="S28" s="69" t="s">
        <v>28</v>
      </c>
    </row>
    <row r="29" spans="1:24" ht="13.5" x14ac:dyDescent="0.25">
      <c r="A29" t="s">
        <v>2</v>
      </c>
      <c r="B29" t="s">
        <v>112</v>
      </c>
      <c r="C29" t="s">
        <v>197</v>
      </c>
      <c r="D29">
        <v>242517.19</v>
      </c>
      <c r="E29">
        <v>243460.78</v>
      </c>
      <c r="I29">
        <v>239745.77</v>
      </c>
      <c r="J29">
        <v>242189.73</v>
      </c>
      <c r="O29" s="69">
        <v>27</v>
      </c>
      <c r="P29" s="69">
        <v>1</v>
      </c>
      <c r="Q29" s="69" t="s">
        <v>29</v>
      </c>
      <c r="R29" s="69" t="s">
        <v>29</v>
      </c>
      <c r="S29" s="69" t="s">
        <v>29</v>
      </c>
    </row>
    <row r="30" spans="1:24" ht="13.5" x14ac:dyDescent="0.25">
      <c r="A30" t="s">
        <v>2</v>
      </c>
      <c r="B30" t="s">
        <v>112</v>
      </c>
      <c r="C30" t="s">
        <v>198</v>
      </c>
      <c r="D30">
        <v>145505.26999999999</v>
      </c>
      <c r="I30">
        <v>242718</v>
      </c>
      <c r="O30" s="69">
        <v>28</v>
      </c>
      <c r="P30" s="69">
        <v>1</v>
      </c>
      <c r="Q30" s="69" t="s">
        <v>30</v>
      </c>
      <c r="R30" s="69" t="s">
        <v>30</v>
      </c>
      <c r="S30" s="69" t="s">
        <v>30</v>
      </c>
    </row>
    <row r="31" spans="1:24" ht="13.5" x14ac:dyDescent="0.25">
      <c r="A31" t="s">
        <v>2</v>
      </c>
      <c r="B31" t="s">
        <v>115</v>
      </c>
      <c r="C31" t="s">
        <v>195</v>
      </c>
      <c r="D31">
        <v>1058972.06</v>
      </c>
      <c r="E31">
        <v>1005202.8</v>
      </c>
      <c r="F31">
        <v>1004368.86</v>
      </c>
      <c r="G31">
        <v>1003090.04</v>
      </c>
      <c r="I31">
        <v>561531.99</v>
      </c>
      <c r="J31">
        <v>919410.55</v>
      </c>
      <c r="K31">
        <v>950410.08</v>
      </c>
      <c r="L31">
        <v>894851.8</v>
      </c>
      <c r="O31" s="69">
        <v>29</v>
      </c>
      <c r="P31" s="69">
        <v>1</v>
      </c>
      <c r="Q31" s="69" t="s">
        <v>31</v>
      </c>
      <c r="R31" s="69" t="s">
        <v>31</v>
      </c>
      <c r="S31" s="69" t="s">
        <v>31</v>
      </c>
    </row>
    <row r="32" spans="1:24" ht="13.5" x14ac:dyDescent="0.25">
      <c r="A32" t="s">
        <v>2</v>
      </c>
      <c r="B32" t="s">
        <v>115</v>
      </c>
      <c r="C32" t="s">
        <v>196</v>
      </c>
      <c r="D32">
        <v>1345805.41</v>
      </c>
      <c r="E32">
        <v>1278213.31</v>
      </c>
      <c r="F32">
        <v>1271400.3600000001</v>
      </c>
      <c r="I32">
        <v>768930.88</v>
      </c>
      <c r="J32">
        <v>1168130.6200000001</v>
      </c>
      <c r="K32">
        <v>1130213.67</v>
      </c>
      <c r="O32" s="69">
        <v>30</v>
      </c>
      <c r="P32" s="69">
        <v>1</v>
      </c>
      <c r="Q32" s="69" t="s">
        <v>32</v>
      </c>
      <c r="R32" s="69" t="s">
        <v>32</v>
      </c>
      <c r="S32" s="69" t="s">
        <v>32</v>
      </c>
    </row>
    <row r="33" spans="1:19" ht="13.5" x14ac:dyDescent="0.25">
      <c r="A33" t="s">
        <v>2</v>
      </c>
      <c r="B33" t="s">
        <v>115</v>
      </c>
      <c r="C33" t="s">
        <v>197</v>
      </c>
      <c r="D33">
        <v>1166354.54</v>
      </c>
      <c r="E33">
        <v>1111287.95</v>
      </c>
      <c r="I33">
        <v>377591.66</v>
      </c>
      <c r="J33">
        <v>931682.48</v>
      </c>
      <c r="O33" s="69">
        <v>31</v>
      </c>
      <c r="P33" s="69">
        <v>1</v>
      </c>
      <c r="Q33" s="69" t="s">
        <v>33</v>
      </c>
      <c r="R33" s="69" t="s">
        <v>33</v>
      </c>
      <c r="S33" s="69" t="s">
        <v>33</v>
      </c>
    </row>
    <row r="34" spans="1:19" ht="13.5" x14ac:dyDescent="0.25">
      <c r="A34" t="s">
        <v>2</v>
      </c>
      <c r="B34" t="s">
        <v>115</v>
      </c>
      <c r="C34" t="s">
        <v>198</v>
      </c>
      <c r="D34">
        <v>1195282.7</v>
      </c>
      <c r="I34">
        <v>637400.36</v>
      </c>
      <c r="O34" s="69">
        <v>32</v>
      </c>
      <c r="P34" s="69">
        <v>1</v>
      </c>
      <c r="Q34" s="69" t="s">
        <v>34</v>
      </c>
      <c r="R34" s="69" t="s">
        <v>34</v>
      </c>
      <c r="S34" s="69" t="s">
        <v>34</v>
      </c>
    </row>
    <row r="35" spans="1:19" ht="13.5" x14ac:dyDescent="0.25">
      <c r="A35" t="s">
        <v>2</v>
      </c>
      <c r="B35" t="s">
        <v>113</v>
      </c>
      <c r="C35" t="s">
        <v>195</v>
      </c>
      <c r="D35">
        <v>53497.84</v>
      </c>
      <c r="E35">
        <v>53211.34</v>
      </c>
      <c r="F35">
        <v>53211.34</v>
      </c>
      <c r="G35">
        <v>53211.34</v>
      </c>
      <c r="I35">
        <v>52291.839999999997</v>
      </c>
      <c r="J35">
        <v>52567.34</v>
      </c>
      <c r="K35">
        <v>52736.34</v>
      </c>
      <c r="L35">
        <v>52736.34</v>
      </c>
      <c r="O35" s="69">
        <v>33</v>
      </c>
      <c r="P35" s="69">
        <v>1</v>
      </c>
      <c r="Q35" s="69" t="s">
        <v>35</v>
      </c>
      <c r="R35" s="69" t="s">
        <v>35</v>
      </c>
      <c r="S35" s="69" t="s">
        <v>35</v>
      </c>
    </row>
    <row r="36" spans="1:19" ht="13.5" x14ac:dyDescent="0.25">
      <c r="A36" t="s">
        <v>2</v>
      </c>
      <c r="B36" t="s">
        <v>113</v>
      </c>
      <c r="C36" t="s">
        <v>196</v>
      </c>
      <c r="D36">
        <v>63175</v>
      </c>
      <c r="E36">
        <v>63094</v>
      </c>
      <c r="F36">
        <v>63094</v>
      </c>
      <c r="I36">
        <v>61656.5</v>
      </c>
      <c r="J36">
        <v>62251.5</v>
      </c>
      <c r="K36">
        <v>62251.5</v>
      </c>
      <c r="O36" s="69">
        <v>34</v>
      </c>
      <c r="P36" s="69">
        <v>1</v>
      </c>
      <c r="Q36" s="69" t="s">
        <v>36</v>
      </c>
      <c r="R36" s="69" t="s">
        <v>36</v>
      </c>
      <c r="S36" s="69" t="s">
        <v>36</v>
      </c>
    </row>
    <row r="37" spans="1:19" ht="13.5" x14ac:dyDescent="0.25">
      <c r="A37" t="s">
        <v>2</v>
      </c>
      <c r="B37" t="s">
        <v>113</v>
      </c>
      <c r="C37" t="s">
        <v>197</v>
      </c>
      <c r="D37">
        <v>59170.07</v>
      </c>
      <c r="E37">
        <v>58935.57</v>
      </c>
      <c r="I37">
        <v>57138.07</v>
      </c>
      <c r="J37">
        <v>58935.07</v>
      </c>
      <c r="O37" s="69">
        <v>35</v>
      </c>
      <c r="P37" s="69">
        <v>1</v>
      </c>
      <c r="Q37" s="69" t="s">
        <v>37</v>
      </c>
      <c r="R37" s="69" t="s">
        <v>37</v>
      </c>
      <c r="S37" s="69" t="s">
        <v>37</v>
      </c>
    </row>
    <row r="38" spans="1:19" ht="13.5" x14ac:dyDescent="0.25">
      <c r="A38" t="s">
        <v>2</v>
      </c>
      <c r="B38" t="s">
        <v>113</v>
      </c>
      <c r="C38" t="s">
        <v>198</v>
      </c>
      <c r="D38">
        <v>58828.31</v>
      </c>
      <c r="I38">
        <v>58255.13</v>
      </c>
      <c r="O38" s="69">
        <v>36</v>
      </c>
      <c r="P38" s="69">
        <v>1</v>
      </c>
      <c r="Q38" s="69" t="s">
        <v>38</v>
      </c>
      <c r="R38" s="69" t="s">
        <v>38</v>
      </c>
      <c r="S38" s="69" t="s">
        <v>38</v>
      </c>
    </row>
    <row r="39" spans="1:19" ht="13.5" x14ac:dyDescent="0.25">
      <c r="A39" t="s">
        <v>2</v>
      </c>
      <c r="B39" t="s">
        <v>72</v>
      </c>
      <c r="C39" t="s">
        <v>195</v>
      </c>
      <c r="D39">
        <v>114502.17</v>
      </c>
      <c r="E39">
        <v>110470.17</v>
      </c>
      <c r="F39">
        <v>110410.17</v>
      </c>
      <c r="G39">
        <v>110410.17</v>
      </c>
      <c r="I39">
        <v>100479.17</v>
      </c>
      <c r="J39">
        <v>102313.17</v>
      </c>
      <c r="K39">
        <v>102633.17</v>
      </c>
      <c r="L39">
        <v>102633.17</v>
      </c>
      <c r="O39" s="69">
        <v>37</v>
      </c>
      <c r="P39" s="69">
        <v>1</v>
      </c>
      <c r="Q39" s="69" t="s">
        <v>39</v>
      </c>
      <c r="R39" s="69" t="s">
        <v>39</v>
      </c>
      <c r="S39" s="69" t="s">
        <v>39</v>
      </c>
    </row>
    <row r="40" spans="1:19" ht="13.5" x14ac:dyDescent="0.25">
      <c r="A40" t="s">
        <v>2</v>
      </c>
      <c r="B40" t="s">
        <v>72</v>
      </c>
      <c r="C40" t="s">
        <v>196</v>
      </c>
      <c r="D40">
        <v>121080.22</v>
      </c>
      <c r="E40">
        <v>119477.22</v>
      </c>
      <c r="F40">
        <v>119367.22</v>
      </c>
      <c r="I40">
        <v>108382.22</v>
      </c>
      <c r="J40">
        <v>111282.22</v>
      </c>
      <c r="K40">
        <v>111352.22</v>
      </c>
      <c r="O40" s="69">
        <v>38</v>
      </c>
      <c r="P40" s="69">
        <v>1</v>
      </c>
      <c r="Q40" s="69" t="s">
        <v>40</v>
      </c>
      <c r="R40" s="69" t="s">
        <v>40</v>
      </c>
      <c r="S40" s="69" t="s">
        <v>40</v>
      </c>
    </row>
    <row r="41" spans="1:19" ht="13.5" x14ac:dyDescent="0.25">
      <c r="A41" t="s">
        <v>2</v>
      </c>
      <c r="B41" t="s">
        <v>72</v>
      </c>
      <c r="C41" t="s">
        <v>197</v>
      </c>
      <c r="D41">
        <v>134233.17000000001</v>
      </c>
      <c r="E41">
        <v>131542.17000000001</v>
      </c>
      <c r="I41">
        <v>118255.17</v>
      </c>
      <c r="J41">
        <v>123829.17</v>
      </c>
      <c r="O41" s="69">
        <v>39</v>
      </c>
      <c r="P41" s="69">
        <v>1</v>
      </c>
      <c r="Q41" s="69" t="s">
        <v>41</v>
      </c>
      <c r="R41" s="69" t="s">
        <v>41</v>
      </c>
      <c r="S41" s="69" t="s">
        <v>41</v>
      </c>
    </row>
    <row r="42" spans="1:19" ht="13.5" x14ac:dyDescent="0.25">
      <c r="A42" t="s">
        <v>2</v>
      </c>
      <c r="B42" t="s">
        <v>72</v>
      </c>
      <c r="C42" t="s">
        <v>198</v>
      </c>
      <c r="D42">
        <v>119360.57</v>
      </c>
      <c r="I42">
        <v>99810.57</v>
      </c>
      <c r="O42" s="69">
        <v>40</v>
      </c>
      <c r="P42" s="69">
        <v>1</v>
      </c>
      <c r="Q42" s="69" t="s">
        <v>42</v>
      </c>
      <c r="R42" s="69" t="s">
        <v>42</v>
      </c>
      <c r="S42" s="69" t="s">
        <v>42</v>
      </c>
    </row>
    <row r="43" spans="1:19" ht="13.5" x14ac:dyDescent="0.25">
      <c r="A43" t="s">
        <v>4</v>
      </c>
      <c r="B43" t="s">
        <v>109</v>
      </c>
      <c r="C43" t="s">
        <v>195</v>
      </c>
      <c r="D43">
        <v>177603</v>
      </c>
      <c r="E43">
        <v>177603</v>
      </c>
      <c r="F43">
        <v>177353</v>
      </c>
      <c r="G43">
        <v>177353</v>
      </c>
      <c r="I43">
        <v>922.93</v>
      </c>
      <c r="J43">
        <v>2431.86</v>
      </c>
      <c r="K43">
        <v>4598.26</v>
      </c>
      <c r="L43">
        <v>9199.66</v>
      </c>
      <c r="O43" s="69">
        <v>41</v>
      </c>
      <c r="P43" s="69">
        <v>1</v>
      </c>
      <c r="Q43" s="69" t="s">
        <v>43</v>
      </c>
      <c r="R43" s="69" t="s">
        <v>43</v>
      </c>
      <c r="S43" s="69" t="s">
        <v>43</v>
      </c>
    </row>
    <row r="44" spans="1:19" ht="13.5" x14ac:dyDescent="0.25">
      <c r="A44" t="s">
        <v>4</v>
      </c>
      <c r="B44" t="s">
        <v>109</v>
      </c>
      <c r="C44" t="s">
        <v>196</v>
      </c>
      <c r="D44">
        <v>70170</v>
      </c>
      <c r="E44">
        <v>70170</v>
      </c>
      <c r="F44">
        <v>68632</v>
      </c>
      <c r="I44">
        <v>1963.85</v>
      </c>
      <c r="J44">
        <v>5918.64</v>
      </c>
      <c r="K44">
        <v>8377.86</v>
      </c>
      <c r="O44" s="69">
        <v>42</v>
      </c>
      <c r="P44" s="69">
        <v>1</v>
      </c>
      <c r="Q44" s="69" t="s">
        <v>44</v>
      </c>
      <c r="R44" s="69" t="s">
        <v>44</v>
      </c>
      <c r="S44" s="69" t="s">
        <v>44</v>
      </c>
    </row>
    <row r="45" spans="1:19" ht="13.5" x14ac:dyDescent="0.25">
      <c r="A45" t="s">
        <v>4</v>
      </c>
      <c r="B45" t="s">
        <v>109</v>
      </c>
      <c r="C45" t="s">
        <v>197</v>
      </c>
      <c r="D45">
        <v>64478.36</v>
      </c>
      <c r="E45">
        <v>64478.36</v>
      </c>
      <c r="I45">
        <v>525.54999999999995</v>
      </c>
      <c r="J45">
        <v>2390.11</v>
      </c>
      <c r="O45" s="69">
        <v>43</v>
      </c>
      <c r="P45" s="69">
        <v>1</v>
      </c>
      <c r="Q45" s="69" t="s">
        <v>45</v>
      </c>
      <c r="R45" s="69" t="s">
        <v>45</v>
      </c>
      <c r="S45" s="69" t="s">
        <v>45</v>
      </c>
    </row>
    <row r="46" spans="1:19" ht="13.5" x14ac:dyDescent="0.25">
      <c r="A46" t="s">
        <v>4</v>
      </c>
      <c r="B46" t="s">
        <v>109</v>
      </c>
      <c r="C46" t="s">
        <v>198</v>
      </c>
      <c r="D46">
        <v>176594.81</v>
      </c>
      <c r="I46">
        <v>450.21</v>
      </c>
      <c r="O46" s="69">
        <v>44</v>
      </c>
      <c r="P46" s="69">
        <v>1</v>
      </c>
      <c r="Q46" s="69" t="s">
        <v>46</v>
      </c>
      <c r="R46" s="69" t="s">
        <v>46</v>
      </c>
      <c r="S46" s="69" t="s">
        <v>46</v>
      </c>
    </row>
    <row r="47" spans="1:19" ht="13.5" x14ac:dyDescent="0.25">
      <c r="A47" t="s">
        <v>4</v>
      </c>
      <c r="B47" t="s">
        <v>145</v>
      </c>
      <c r="C47" t="s">
        <v>195</v>
      </c>
      <c r="D47">
        <v>106043</v>
      </c>
      <c r="E47">
        <v>106043</v>
      </c>
      <c r="F47">
        <v>106043</v>
      </c>
      <c r="G47">
        <v>106043</v>
      </c>
      <c r="I47">
        <v>0</v>
      </c>
      <c r="J47">
        <v>0</v>
      </c>
      <c r="K47">
        <v>0</v>
      </c>
      <c r="L47">
        <v>250</v>
      </c>
      <c r="O47" s="69">
        <v>45</v>
      </c>
      <c r="P47" s="69">
        <v>1</v>
      </c>
      <c r="Q47" s="69" t="s">
        <v>47</v>
      </c>
      <c r="R47" s="69" t="s">
        <v>47</v>
      </c>
      <c r="S47" s="69" t="s">
        <v>47</v>
      </c>
    </row>
    <row r="48" spans="1:19" ht="13.5" x14ac:dyDescent="0.25">
      <c r="A48" t="s">
        <v>4</v>
      </c>
      <c r="B48" t="s">
        <v>145</v>
      </c>
      <c r="C48" t="s">
        <v>196</v>
      </c>
      <c r="D48">
        <v>410</v>
      </c>
      <c r="E48">
        <v>410</v>
      </c>
      <c r="F48">
        <v>410</v>
      </c>
      <c r="I48">
        <v>54.34</v>
      </c>
      <c r="J48">
        <v>100</v>
      </c>
      <c r="K48">
        <v>100</v>
      </c>
      <c r="O48" s="69">
        <v>46</v>
      </c>
      <c r="P48" s="69">
        <v>1</v>
      </c>
      <c r="Q48" s="69" t="s">
        <v>48</v>
      </c>
      <c r="R48" s="69" t="s">
        <v>48</v>
      </c>
      <c r="S48" s="69" t="s">
        <v>48</v>
      </c>
    </row>
    <row r="49" spans="1:19" ht="13.5" x14ac:dyDescent="0.25">
      <c r="A49" t="s">
        <v>4</v>
      </c>
      <c r="B49" t="s">
        <v>145</v>
      </c>
      <c r="C49" t="s">
        <v>197</v>
      </c>
      <c r="D49">
        <v>0</v>
      </c>
      <c r="E49">
        <v>0</v>
      </c>
      <c r="I49">
        <v>0</v>
      </c>
      <c r="J49">
        <v>0</v>
      </c>
      <c r="O49" s="69">
        <v>47</v>
      </c>
      <c r="P49" s="69">
        <v>1</v>
      </c>
      <c r="Q49" s="69" t="s">
        <v>49</v>
      </c>
      <c r="R49" s="69" t="s">
        <v>49</v>
      </c>
      <c r="S49" s="69" t="s">
        <v>49</v>
      </c>
    </row>
    <row r="50" spans="1:19" ht="13.5" x14ac:dyDescent="0.25">
      <c r="A50" t="s">
        <v>4</v>
      </c>
      <c r="B50" t="s">
        <v>145</v>
      </c>
      <c r="C50" t="s">
        <v>198</v>
      </c>
      <c r="D50">
        <v>105793</v>
      </c>
      <c r="I50">
        <v>0</v>
      </c>
      <c r="O50" s="69">
        <v>48</v>
      </c>
      <c r="P50" s="69">
        <v>1</v>
      </c>
      <c r="Q50" s="69" t="s">
        <v>50</v>
      </c>
      <c r="R50" s="69" t="s">
        <v>50</v>
      </c>
      <c r="S50" s="69" t="s">
        <v>50</v>
      </c>
    </row>
    <row r="51" spans="1:19" ht="13.5" x14ac:dyDescent="0.25">
      <c r="A51" t="s">
        <v>4</v>
      </c>
      <c r="B51" t="s">
        <v>110</v>
      </c>
      <c r="C51" t="s">
        <v>195</v>
      </c>
      <c r="D51">
        <v>36261</v>
      </c>
      <c r="E51">
        <v>36231</v>
      </c>
      <c r="F51">
        <v>36231</v>
      </c>
      <c r="G51">
        <v>36231</v>
      </c>
      <c r="I51">
        <v>5317.87</v>
      </c>
      <c r="J51">
        <v>9506.93</v>
      </c>
      <c r="K51">
        <v>12723.66</v>
      </c>
      <c r="L51">
        <v>14026.18</v>
      </c>
      <c r="O51" s="69">
        <v>49</v>
      </c>
      <c r="P51" s="69">
        <v>1</v>
      </c>
      <c r="Q51" s="69" t="s">
        <v>51</v>
      </c>
      <c r="R51" s="69" t="s">
        <v>51</v>
      </c>
      <c r="S51" s="69" t="s">
        <v>51</v>
      </c>
    </row>
    <row r="52" spans="1:19" ht="13.5" x14ac:dyDescent="0.25">
      <c r="A52" t="s">
        <v>4</v>
      </c>
      <c r="B52" t="s">
        <v>110</v>
      </c>
      <c r="C52" t="s">
        <v>196</v>
      </c>
      <c r="D52">
        <v>38931</v>
      </c>
      <c r="E52">
        <v>38931</v>
      </c>
      <c r="F52">
        <v>38931</v>
      </c>
      <c r="I52">
        <v>6139.49</v>
      </c>
      <c r="J52">
        <v>8317.81</v>
      </c>
      <c r="K52">
        <v>11076.34</v>
      </c>
      <c r="O52" s="69">
        <v>50</v>
      </c>
      <c r="P52" s="69">
        <v>1</v>
      </c>
      <c r="Q52" s="69" t="s">
        <v>52</v>
      </c>
      <c r="R52" s="69" t="s">
        <v>52</v>
      </c>
      <c r="S52" s="69" t="s">
        <v>52</v>
      </c>
    </row>
    <row r="53" spans="1:19" ht="13.5" x14ac:dyDescent="0.25">
      <c r="A53" t="s">
        <v>4</v>
      </c>
      <c r="B53" t="s">
        <v>110</v>
      </c>
      <c r="C53" t="s">
        <v>197</v>
      </c>
      <c r="D53">
        <v>42479.5</v>
      </c>
      <c r="E53">
        <v>42479.5</v>
      </c>
      <c r="I53">
        <v>3377.89</v>
      </c>
      <c r="J53">
        <v>6528.25</v>
      </c>
      <c r="O53" s="69">
        <v>51</v>
      </c>
      <c r="P53" s="69">
        <v>1</v>
      </c>
      <c r="Q53" s="69" t="s">
        <v>53</v>
      </c>
      <c r="R53" s="69" t="s">
        <v>53</v>
      </c>
      <c r="S53" s="69" t="s">
        <v>53</v>
      </c>
    </row>
    <row r="54" spans="1:19" ht="13.5" x14ac:dyDescent="0.25">
      <c r="A54" t="s">
        <v>4</v>
      </c>
      <c r="B54" t="s">
        <v>110</v>
      </c>
      <c r="C54" t="s">
        <v>198</v>
      </c>
      <c r="D54">
        <v>31964</v>
      </c>
      <c r="I54">
        <v>4601</v>
      </c>
      <c r="O54" s="69">
        <v>52</v>
      </c>
      <c r="P54" s="69">
        <v>1</v>
      </c>
      <c r="Q54" s="69" t="s">
        <v>54</v>
      </c>
      <c r="R54" s="69" t="s">
        <v>54</v>
      </c>
      <c r="S54" s="69" t="s">
        <v>54</v>
      </c>
    </row>
    <row r="55" spans="1:19" ht="13.5" x14ac:dyDescent="0.25">
      <c r="A55" t="s">
        <v>4</v>
      </c>
      <c r="B55" t="s">
        <v>116</v>
      </c>
      <c r="C55" t="s">
        <v>195</v>
      </c>
      <c r="D55">
        <v>1835</v>
      </c>
      <c r="E55">
        <v>1835</v>
      </c>
      <c r="F55">
        <v>1835</v>
      </c>
      <c r="G55">
        <v>1835</v>
      </c>
      <c r="I55">
        <v>14</v>
      </c>
      <c r="J55">
        <v>460</v>
      </c>
      <c r="K55">
        <v>460</v>
      </c>
      <c r="L55">
        <v>813</v>
      </c>
      <c r="O55" s="69">
        <v>53</v>
      </c>
      <c r="P55" s="69">
        <v>1</v>
      </c>
      <c r="Q55" s="69" t="s">
        <v>55</v>
      </c>
      <c r="R55" s="69" t="s">
        <v>55</v>
      </c>
      <c r="S55" s="69" t="s">
        <v>55</v>
      </c>
    </row>
    <row r="56" spans="1:19" ht="13.5" x14ac:dyDescent="0.25">
      <c r="A56" t="s">
        <v>4</v>
      </c>
      <c r="B56" t="s">
        <v>116</v>
      </c>
      <c r="C56" t="s">
        <v>196</v>
      </c>
      <c r="D56">
        <v>2777.5</v>
      </c>
      <c r="E56">
        <v>2777.5</v>
      </c>
      <c r="F56">
        <v>2777.5</v>
      </c>
      <c r="I56">
        <v>363.5</v>
      </c>
      <c r="J56">
        <v>363.5</v>
      </c>
      <c r="K56">
        <v>363.5</v>
      </c>
      <c r="O56" s="69">
        <v>54</v>
      </c>
      <c r="P56" s="69">
        <v>1</v>
      </c>
      <c r="Q56" s="69" t="s">
        <v>56</v>
      </c>
      <c r="R56" s="69" t="s">
        <v>56</v>
      </c>
      <c r="S56" s="69" t="s">
        <v>56</v>
      </c>
    </row>
    <row r="57" spans="1:19" ht="13.5" x14ac:dyDescent="0.25">
      <c r="A57" t="s">
        <v>4</v>
      </c>
      <c r="B57" t="s">
        <v>116</v>
      </c>
      <c r="C57" t="s">
        <v>197</v>
      </c>
      <c r="D57">
        <v>3083</v>
      </c>
      <c r="E57">
        <v>3083</v>
      </c>
      <c r="I57">
        <v>203</v>
      </c>
      <c r="J57">
        <v>476</v>
      </c>
      <c r="O57" s="69">
        <v>55</v>
      </c>
      <c r="P57" s="69">
        <v>1</v>
      </c>
      <c r="Q57" s="69" t="s">
        <v>57</v>
      </c>
      <c r="R57" s="69" t="s">
        <v>57</v>
      </c>
      <c r="S57" s="69" t="s">
        <v>57</v>
      </c>
    </row>
    <row r="58" spans="1:19" ht="13.5" x14ac:dyDescent="0.25">
      <c r="A58" t="s">
        <v>4</v>
      </c>
      <c r="B58" t="s">
        <v>116</v>
      </c>
      <c r="C58" t="s">
        <v>198</v>
      </c>
      <c r="D58">
        <v>1148.5</v>
      </c>
      <c r="I58">
        <v>3.5</v>
      </c>
      <c r="O58" s="69">
        <v>56</v>
      </c>
      <c r="P58" s="69">
        <v>1</v>
      </c>
      <c r="Q58" s="69" t="s">
        <v>58</v>
      </c>
      <c r="R58" s="69" t="s">
        <v>58</v>
      </c>
      <c r="S58" s="69" t="s">
        <v>58</v>
      </c>
    </row>
    <row r="59" spans="1:19" ht="13.5" x14ac:dyDescent="0.25">
      <c r="A59" t="s">
        <v>4</v>
      </c>
      <c r="B59" t="s">
        <v>114</v>
      </c>
      <c r="C59" t="s">
        <v>195</v>
      </c>
      <c r="D59">
        <v>34060.94</v>
      </c>
      <c r="E59">
        <v>34060.94</v>
      </c>
      <c r="F59">
        <v>34060.94</v>
      </c>
      <c r="G59">
        <v>34060.94</v>
      </c>
      <c r="I59">
        <v>4492.8</v>
      </c>
      <c r="J59">
        <v>7924.6</v>
      </c>
      <c r="K59">
        <v>9632.66</v>
      </c>
      <c r="L59">
        <v>12452.32</v>
      </c>
      <c r="O59" s="69">
        <v>57</v>
      </c>
      <c r="P59" s="69">
        <v>1</v>
      </c>
      <c r="Q59" s="69" t="s">
        <v>59</v>
      </c>
      <c r="R59" s="69" t="s">
        <v>59</v>
      </c>
      <c r="S59" s="69" t="s">
        <v>59</v>
      </c>
    </row>
    <row r="60" spans="1:19" ht="13.5" x14ac:dyDescent="0.25">
      <c r="A60" t="s">
        <v>4</v>
      </c>
      <c r="B60" t="s">
        <v>114</v>
      </c>
      <c r="C60" t="s">
        <v>196</v>
      </c>
      <c r="D60">
        <v>24732.62</v>
      </c>
      <c r="E60">
        <v>24732.62</v>
      </c>
      <c r="F60">
        <v>24682.62</v>
      </c>
      <c r="I60">
        <v>4588.66</v>
      </c>
      <c r="J60">
        <v>7728.93</v>
      </c>
      <c r="K60">
        <v>9822.1</v>
      </c>
      <c r="O60" s="69">
        <v>58</v>
      </c>
      <c r="P60" s="69">
        <v>1</v>
      </c>
      <c r="Q60" s="69" t="s">
        <v>60</v>
      </c>
      <c r="R60" s="69" t="s">
        <v>80</v>
      </c>
      <c r="S60" s="69" t="s">
        <v>81</v>
      </c>
    </row>
    <row r="61" spans="1:19" ht="13.5" x14ac:dyDescent="0.25">
      <c r="A61" t="s">
        <v>4</v>
      </c>
      <c r="B61" t="s">
        <v>114</v>
      </c>
      <c r="C61" t="s">
        <v>197</v>
      </c>
      <c r="D61">
        <v>30189</v>
      </c>
      <c r="E61">
        <v>30169</v>
      </c>
      <c r="I61">
        <v>3690.32</v>
      </c>
      <c r="J61">
        <v>6626.97</v>
      </c>
      <c r="O61" s="69">
        <v>59</v>
      </c>
      <c r="P61" s="69">
        <v>1</v>
      </c>
      <c r="Q61" s="69" t="s">
        <v>61</v>
      </c>
      <c r="R61" s="69" t="s">
        <v>82</v>
      </c>
      <c r="S61" s="69" t="s">
        <v>83</v>
      </c>
    </row>
    <row r="62" spans="1:19" ht="13.5" x14ac:dyDescent="0.25">
      <c r="A62" t="s">
        <v>4</v>
      </c>
      <c r="B62" t="s">
        <v>114</v>
      </c>
      <c r="C62" t="s">
        <v>198</v>
      </c>
      <c r="D62">
        <v>33519.5</v>
      </c>
      <c r="I62">
        <v>3488.83</v>
      </c>
      <c r="O62" s="69">
        <v>60</v>
      </c>
      <c r="P62" s="69">
        <v>1</v>
      </c>
      <c r="Q62" s="69" t="s">
        <v>62</v>
      </c>
      <c r="R62" s="69" t="s">
        <v>62</v>
      </c>
      <c r="S62" s="69" t="s">
        <v>62</v>
      </c>
    </row>
    <row r="63" spans="1:19" ht="13.5" x14ac:dyDescent="0.25">
      <c r="A63" t="s">
        <v>4</v>
      </c>
      <c r="B63" t="s">
        <v>111</v>
      </c>
      <c r="C63" t="s">
        <v>195</v>
      </c>
      <c r="D63">
        <v>31564.25</v>
      </c>
      <c r="E63">
        <v>31564.25</v>
      </c>
      <c r="F63">
        <v>31564.25</v>
      </c>
      <c r="G63">
        <v>31564.25</v>
      </c>
      <c r="I63">
        <v>31554.25</v>
      </c>
      <c r="J63">
        <v>31554.25</v>
      </c>
      <c r="K63">
        <v>31554.25</v>
      </c>
      <c r="L63">
        <v>31554.25</v>
      </c>
      <c r="O63" s="69">
        <v>61</v>
      </c>
      <c r="P63" s="69">
        <v>1</v>
      </c>
      <c r="Q63" s="69" t="s">
        <v>63</v>
      </c>
      <c r="R63" s="69" t="s">
        <v>63</v>
      </c>
      <c r="S63" s="69" t="s">
        <v>63</v>
      </c>
    </row>
    <row r="64" spans="1:19" ht="13.5" x14ac:dyDescent="0.25">
      <c r="A64" t="s">
        <v>4</v>
      </c>
      <c r="B64" t="s">
        <v>111</v>
      </c>
      <c r="C64" t="s">
        <v>196</v>
      </c>
      <c r="D64">
        <v>23301.3</v>
      </c>
      <c r="E64">
        <v>23301.3</v>
      </c>
      <c r="F64">
        <v>23301.3</v>
      </c>
      <c r="I64">
        <v>21836.3</v>
      </c>
      <c r="J64">
        <v>22741.3</v>
      </c>
      <c r="K64">
        <v>22741.3</v>
      </c>
      <c r="O64" s="69">
        <v>62</v>
      </c>
      <c r="P64" s="69">
        <v>1</v>
      </c>
      <c r="Q64" s="69" t="s">
        <v>64</v>
      </c>
      <c r="R64" s="69" t="s">
        <v>64</v>
      </c>
      <c r="S64" s="69" t="s">
        <v>64</v>
      </c>
    </row>
    <row r="65" spans="1:19" ht="13.5" x14ac:dyDescent="0.25">
      <c r="A65" t="s">
        <v>4</v>
      </c>
      <c r="B65" t="s">
        <v>111</v>
      </c>
      <c r="C65" t="s">
        <v>197</v>
      </c>
      <c r="D65">
        <v>20040</v>
      </c>
      <c r="E65">
        <v>20040</v>
      </c>
      <c r="I65">
        <v>18765.48</v>
      </c>
      <c r="J65">
        <v>19680.48</v>
      </c>
      <c r="O65" s="69">
        <v>63</v>
      </c>
      <c r="P65" s="69">
        <v>1</v>
      </c>
      <c r="Q65" s="69" t="s">
        <v>65</v>
      </c>
      <c r="R65" s="69" t="s">
        <v>65</v>
      </c>
      <c r="S65" s="69" t="s">
        <v>65</v>
      </c>
    </row>
    <row r="66" spans="1:19" ht="13.5" x14ac:dyDescent="0.25">
      <c r="A66" t="s">
        <v>4</v>
      </c>
      <c r="B66" t="s">
        <v>111</v>
      </c>
      <c r="C66" t="s">
        <v>198</v>
      </c>
      <c r="D66">
        <v>22264.35</v>
      </c>
      <c r="I66">
        <v>20734.55</v>
      </c>
      <c r="O66" s="69">
        <v>64</v>
      </c>
      <c r="P66" s="69">
        <v>1</v>
      </c>
      <c r="Q66" s="69" t="s">
        <v>66</v>
      </c>
      <c r="R66" s="69" t="s">
        <v>66</v>
      </c>
      <c r="S66" s="69" t="s">
        <v>66</v>
      </c>
    </row>
    <row r="67" spans="1:19" ht="13.5" x14ac:dyDescent="0.25">
      <c r="A67" t="s">
        <v>4</v>
      </c>
      <c r="B67" t="s">
        <v>112</v>
      </c>
      <c r="C67" t="s">
        <v>195</v>
      </c>
      <c r="D67">
        <v>20160</v>
      </c>
      <c r="E67">
        <v>20160</v>
      </c>
      <c r="F67">
        <v>20160</v>
      </c>
      <c r="G67">
        <v>20160</v>
      </c>
      <c r="I67">
        <v>19770</v>
      </c>
      <c r="J67">
        <v>19770</v>
      </c>
      <c r="K67">
        <v>19770</v>
      </c>
      <c r="L67">
        <v>19770</v>
      </c>
      <c r="O67" s="69">
        <v>65</v>
      </c>
      <c r="P67" s="69">
        <v>1</v>
      </c>
      <c r="Q67" s="69" t="s">
        <v>67</v>
      </c>
      <c r="R67" s="69" t="s">
        <v>67</v>
      </c>
      <c r="S67" s="69" t="s">
        <v>67</v>
      </c>
    </row>
    <row r="68" spans="1:19" ht="13.5" x14ac:dyDescent="0.25">
      <c r="A68" t="s">
        <v>4</v>
      </c>
      <c r="B68" t="s">
        <v>112</v>
      </c>
      <c r="C68" t="s">
        <v>196</v>
      </c>
      <c r="D68">
        <v>19448</v>
      </c>
      <c r="E68">
        <v>19448</v>
      </c>
      <c r="F68">
        <v>19448</v>
      </c>
      <c r="I68">
        <v>18913</v>
      </c>
      <c r="J68">
        <v>18993</v>
      </c>
      <c r="K68">
        <v>18993</v>
      </c>
      <c r="O68" s="69">
        <v>66</v>
      </c>
      <c r="P68" s="69">
        <v>1</v>
      </c>
      <c r="Q68" s="69" t="s">
        <v>68</v>
      </c>
      <c r="R68" s="69" t="s">
        <v>68</v>
      </c>
      <c r="S68" s="69" t="s">
        <v>68</v>
      </c>
    </row>
    <row r="69" spans="1:19" ht="13.5" x14ac:dyDescent="0.25">
      <c r="A69" t="s">
        <v>4</v>
      </c>
      <c r="B69" t="s">
        <v>112</v>
      </c>
      <c r="C69" t="s">
        <v>197</v>
      </c>
      <c r="D69">
        <v>22983</v>
      </c>
      <c r="E69">
        <v>22983</v>
      </c>
      <c r="I69">
        <v>22123</v>
      </c>
      <c r="J69">
        <v>22613</v>
      </c>
      <c r="O69" s="69">
        <v>67</v>
      </c>
      <c r="P69" s="69">
        <v>1</v>
      </c>
      <c r="Q69" s="69" t="s">
        <v>69</v>
      </c>
      <c r="R69" s="69" t="s">
        <v>69</v>
      </c>
      <c r="S69" s="69" t="s">
        <v>69</v>
      </c>
    </row>
    <row r="70" spans="1:19" x14ac:dyDescent="0.2">
      <c r="A70" t="s">
        <v>4</v>
      </c>
      <c r="B70" t="s">
        <v>112</v>
      </c>
      <c r="C70" t="s">
        <v>198</v>
      </c>
      <c r="D70">
        <v>21584</v>
      </c>
      <c r="I70">
        <v>21349</v>
      </c>
    </row>
    <row r="71" spans="1:19" x14ac:dyDescent="0.2">
      <c r="A71" t="s">
        <v>4</v>
      </c>
      <c r="B71" t="s">
        <v>115</v>
      </c>
      <c r="C71" t="s">
        <v>195</v>
      </c>
      <c r="D71">
        <v>95354.4</v>
      </c>
      <c r="E71">
        <v>87899.3</v>
      </c>
      <c r="F71">
        <v>86648.3</v>
      </c>
      <c r="G71">
        <v>86379.3</v>
      </c>
      <c r="I71">
        <v>21125.9</v>
      </c>
      <c r="J71">
        <v>67437.3</v>
      </c>
      <c r="K71">
        <v>71123.3</v>
      </c>
      <c r="L71">
        <v>72948.3</v>
      </c>
    </row>
    <row r="72" spans="1:19" x14ac:dyDescent="0.2">
      <c r="A72" t="s">
        <v>4</v>
      </c>
      <c r="B72" t="s">
        <v>115</v>
      </c>
      <c r="C72" t="s">
        <v>196</v>
      </c>
      <c r="D72">
        <v>93444.800000000003</v>
      </c>
      <c r="E72">
        <v>86691.3</v>
      </c>
      <c r="F72">
        <v>84652.3</v>
      </c>
      <c r="I72">
        <v>25644.799999999999</v>
      </c>
      <c r="J72">
        <v>62221.3</v>
      </c>
      <c r="K72">
        <v>69257.3</v>
      </c>
    </row>
    <row r="73" spans="1:19" x14ac:dyDescent="0.2">
      <c r="A73" t="s">
        <v>4</v>
      </c>
      <c r="B73" t="s">
        <v>115</v>
      </c>
      <c r="C73" t="s">
        <v>197</v>
      </c>
      <c r="D73">
        <v>138013.9</v>
      </c>
      <c r="E73">
        <v>128218.9</v>
      </c>
      <c r="I73">
        <v>33386.400000000001</v>
      </c>
      <c r="J73">
        <v>85817.4</v>
      </c>
    </row>
    <row r="74" spans="1:19" x14ac:dyDescent="0.2">
      <c r="A74" t="s">
        <v>4</v>
      </c>
      <c r="B74" t="s">
        <v>115</v>
      </c>
      <c r="C74" t="s">
        <v>198</v>
      </c>
      <c r="D74">
        <v>83158.899999999994</v>
      </c>
      <c r="I74">
        <v>22748.400000000001</v>
      </c>
    </row>
    <row r="75" spans="1:19" x14ac:dyDescent="0.2">
      <c r="A75" t="s">
        <v>4</v>
      </c>
      <c r="B75" t="s">
        <v>113</v>
      </c>
      <c r="C75" t="s">
        <v>195</v>
      </c>
      <c r="D75">
        <v>3961</v>
      </c>
      <c r="E75">
        <v>3961</v>
      </c>
      <c r="F75">
        <v>3961</v>
      </c>
      <c r="G75">
        <v>3961</v>
      </c>
      <c r="I75">
        <v>3726</v>
      </c>
      <c r="J75">
        <v>3726</v>
      </c>
      <c r="K75">
        <v>3726</v>
      </c>
      <c r="L75">
        <v>3726</v>
      </c>
    </row>
    <row r="76" spans="1:19" x14ac:dyDescent="0.2">
      <c r="A76" t="s">
        <v>4</v>
      </c>
      <c r="B76" t="s">
        <v>113</v>
      </c>
      <c r="C76" t="s">
        <v>196</v>
      </c>
      <c r="D76">
        <v>4831</v>
      </c>
      <c r="E76">
        <v>4831</v>
      </c>
      <c r="F76">
        <v>4831</v>
      </c>
      <c r="I76">
        <v>4831</v>
      </c>
      <c r="J76">
        <v>4831</v>
      </c>
      <c r="K76">
        <v>4831</v>
      </c>
    </row>
    <row r="77" spans="1:19" x14ac:dyDescent="0.2">
      <c r="A77" t="s">
        <v>4</v>
      </c>
      <c r="B77" t="s">
        <v>113</v>
      </c>
      <c r="C77" t="s">
        <v>197</v>
      </c>
      <c r="D77">
        <v>5166</v>
      </c>
      <c r="E77">
        <v>5166</v>
      </c>
      <c r="I77">
        <v>5166</v>
      </c>
      <c r="J77">
        <v>5166</v>
      </c>
    </row>
    <row r="78" spans="1:19" x14ac:dyDescent="0.2">
      <c r="A78" t="s">
        <v>4</v>
      </c>
      <c r="B78" t="s">
        <v>113</v>
      </c>
      <c r="C78" t="s">
        <v>198</v>
      </c>
      <c r="D78">
        <v>4574</v>
      </c>
      <c r="I78">
        <v>4574</v>
      </c>
    </row>
    <row r="79" spans="1:19" x14ac:dyDescent="0.2">
      <c r="A79" t="s">
        <v>4</v>
      </c>
      <c r="B79" t="s">
        <v>72</v>
      </c>
      <c r="C79" t="s">
        <v>195</v>
      </c>
      <c r="D79">
        <v>18028.349999999999</v>
      </c>
      <c r="E79">
        <v>17610.349999999999</v>
      </c>
      <c r="F79">
        <v>17610.349999999999</v>
      </c>
      <c r="G79">
        <v>17610.349999999999</v>
      </c>
      <c r="I79">
        <v>15978.35</v>
      </c>
      <c r="J79">
        <v>15978.35</v>
      </c>
      <c r="K79">
        <v>15978.35</v>
      </c>
      <c r="L79">
        <v>15978.35</v>
      </c>
    </row>
    <row r="80" spans="1:19" x14ac:dyDescent="0.2">
      <c r="A80" t="s">
        <v>4</v>
      </c>
      <c r="B80" t="s">
        <v>72</v>
      </c>
      <c r="C80" t="s">
        <v>196</v>
      </c>
      <c r="D80">
        <v>21850</v>
      </c>
      <c r="E80">
        <v>21850</v>
      </c>
      <c r="F80">
        <v>21850</v>
      </c>
      <c r="I80">
        <v>20962</v>
      </c>
      <c r="J80">
        <v>21382</v>
      </c>
      <c r="K80">
        <v>21382</v>
      </c>
    </row>
    <row r="81" spans="1:12" x14ac:dyDescent="0.2">
      <c r="A81" t="s">
        <v>4</v>
      </c>
      <c r="B81" t="s">
        <v>72</v>
      </c>
      <c r="C81" t="s">
        <v>197</v>
      </c>
      <c r="D81">
        <v>24238</v>
      </c>
      <c r="E81">
        <v>24238</v>
      </c>
      <c r="I81">
        <v>23838</v>
      </c>
      <c r="J81">
        <v>23838</v>
      </c>
    </row>
    <row r="82" spans="1:12" x14ac:dyDescent="0.2">
      <c r="A82" t="s">
        <v>4</v>
      </c>
      <c r="B82" t="s">
        <v>72</v>
      </c>
      <c r="C82" t="s">
        <v>198</v>
      </c>
      <c r="D82">
        <v>15208</v>
      </c>
      <c r="I82">
        <v>13992</v>
      </c>
    </row>
    <row r="83" spans="1:12" x14ac:dyDescent="0.2">
      <c r="A83" t="s">
        <v>5</v>
      </c>
      <c r="B83" t="s">
        <v>109</v>
      </c>
      <c r="C83" t="s">
        <v>195</v>
      </c>
      <c r="D83">
        <v>576493.97</v>
      </c>
      <c r="E83">
        <v>575921.97</v>
      </c>
      <c r="F83">
        <v>575336.97</v>
      </c>
      <c r="G83">
        <v>575886.97</v>
      </c>
      <c r="I83">
        <v>19027.330000000002</v>
      </c>
      <c r="J83">
        <v>32003.59</v>
      </c>
      <c r="K83">
        <v>43410.3</v>
      </c>
      <c r="L83">
        <v>49935.02</v>
      </c>
    </row>
    <row r="84" spans="1:12" x14ac:dyDescent="0.2">
      <c r="A84" t="s">
        <v>5</v>
      </c>
      <c r="B84" t="s">
        <v>109</v>
      </c>
      <c r="C84" t="s">
        <v>196</v>
      </c>
      <c r="D84">
        <v>783638.07</v>
      </c>
      <c r="E84">
        <v>787693.67</v>
      </c>
      <c r="F84">
        <v>787693.67</v>
      </c>
      <c r="I84">
        <v>15260.48</v>
      </c>
      <c r="J84">
        <v>30739.37</v>
      </c>
      <c r="K84">
        <v>39902.46</v>
      </c>
    </row>
    <row r="85" spans="1:12" x14ac:dyDescent="0.2">
      <c r="A85" t="s">
        <v>5</v>
      </c>
      <c r="B85" t="s">
        <v>109</v>
      </c>
      <c r="C85" t="s">
        <v>197</v>
      </c>
      <c r="D85">
        <v>871610.49</v>
      </c>
      <c r="E85">
        <v>871400.49</v>
      </c>
      <c r="I85">
        <v>21921.13</v>
      </c>
      <c r="J85">
        <v>40112.44</v>
      </c>
    </row>
    <row r="86" spans="1:12" x14ac:dyDescent="0.2">
      <c r="A86" t="s">
        <v>5</v>
      </c>
      <c r="B86" t="s">
        <v>109</v>
      </c>
      <c r="C86" t="s">
        <v>198</v>
      </c>
      <c r="D86">
        <v>1746410.57</v>
      </c>
      <c r="I86">
        <v>20840.71</v>
      </c>
    </row>
    <row r="87" spans="1:12" x14ac:dyDescent="0.2">
      <c r="A87" t="s">
        <v>5</v>
      </c>
      <c r="B87" t="s">
        <v>145</v>
      </c>
      <c r="C87" t="s">
        <v>195</v>
      </c>
      <c r="D87">
        <v>346</v>
      </c>
      <c r="E87">
        <v>346</v>
      </c>
      <c r="F87">
        <v>346</v>
      </c>
      <c r="G87">
        <v>346</v>
      </c>
      <c r="I87">
        <v>32</v>
      </c>
      <c r="J87">
        <v>57</v>
      </c>
      <c r="K87">
        <v>57</v>
      </c>
      <c r="L87">
        <v>57</v>
      </c>
    </row>
    <row r="88" spans="1:12" x14ac:dyDescent="0.2">
      <c r="A88" t="s">
        <v>5</v>
      </c>
      <c r="B88" t="s">
        <v>145</v>
      </c>
      <c r="C88" t="s">
        <v>196</v>
      </c>
      <c r="D88">
        <v>107825</v>
      </c>
      <c r="E88">
        <v>107825</v>
      </c>
      <c r="F88">
        <v>107825</v>
      </c>
      <c r="I88">
        <v>46</v>
      </c>
      <c r="J88">
        <v>117</v>
      </c>
      <c r="K88">
        <v>204</v>
      </c>
    </row>
    <row r="89" spans="1:12" x14ac:dyDescent="0.2">
      <c r="A89" t="s">
        <v>5</v>
      </c>
      <c r="B89" t="s">
        <v>145</v>
      </c>
      <c r="C89" t="s">
        <v>197</v>
      </c>
      <c r="D89">
        <v>211550</v>
      </c>
      <c r="E89">
        <v>211550</v>
      </c>
      <c r="I89">
        <v>60</v>
      </c>
      <c r="J89">
        <v>74</v>
      </c>
    </row>
    <row r="90" spans="1:12" x14ac:dyDescent="0.2">
      <c r="A90" t="s">
        <v>5</v>
      </c>
      <c r="B90" t="s">
        <v>145</v>
      </c>
      <c r="C90" t="s">
        <v>198</v>
      </c>
      <c r="D90">
        <v>670718</v>
      </c>
      <c r="I90">
        <v>71</v>
      </c>
    </row>
    <row r="91" spans="1:12" x14ac:dyDescent="0.2">
      <c r="A91" t="s">
        <v>5</v>
      </c>
      <c r="B91" t="s">
        <v>110</v>
      </c>
      <c r="C91" t="s">
        <v>195</v>
      </c>
      <c r="D91">
        <v>659988.42000000004</v>
      </c>
      <c r="E91">
        <v>653155.28</v>
      </c>
      <c r="F91">
        <v>642647.31999999995</v>
      </c>
      <c r="G91">
        <v>635862.31999999995</v>
      </c>
      <c r="I91">
        <v>48428.45</v>
      </c>
      <c r="J91">
        <v>93167</v>
      </c>
      <c r="K91">
        <v>139661.84</v>
      </c>
      <c r="L91">
        <v>174772.32</v>
      </c>
    </row>
    <row r="92" spans="1:12" x14ac:dyDescent="0.2">
      <c r="A92" t="s">
        <v>5</v>
      </c>
      <c r="B92" t="s">
        <v>110</v>
      </c>
      <c r="C92" t="s">
        <v>196</v>
      </c>
      <c r="D92">
        <v>697951.81</v>
      </c>
      <c r="E92">
        <v>676330.19</v>
      </c>
      <c r="F92">
        <v>666275.18999999994</v>
      </c>
      <c r="I92">
        <v>56619.29</v>
      </c>
      <c r="J92">
        <v>102567.3</v>
      </c>
      <c r="K92">
        <v>155387.47</v>
      </c>
    </row>
    <row r="93" spans="1:12" x14ac:dyDescent="0.2">
      <c r="A93" t="s">
        <v>5</v>
      </c>
      <c r="B93" t="s">
        <v>110</v>
      </c>
      <c r="C93" t="s">
        <v>197</v>
      </c>
      <c r="D93">
        <v>666164.68000000005</v>
      </c>
      <c r="E93">
        <v>658546.68000000005</v>
      </c>
      <c r="I93">
        <v>58799.98</v>
      </c>
      <c r="J93">
        <v>99112.62</v>
      </c>
    </row>
    <row r="94" spans="1:12" x14ac:dyDescent="0.2">
      <c r="A94" t="s">
        <v>5</v>
      </c>
      <c r="B94" t="s">
        <v>110</v>
      </c>
      <c r="C94" t="s">
        <v>198</v>
      </c>
      <c r="D94">
        <v>704674.24</v>
      </c>
      <c r="I94">
        <v>50801.75</v>
      </c>
    </row>
    <row r="95" spans="1:12" x14ac:dyDescent="0.2">
      <c r="A95" t="s">
        <v>5</v>
      </c>
      <c r="B95" t="s">
        <v>116</v>
      </c>
      <c r="C95" t="s">
        <v>195</v>
      </c>
      <c r="D95">
        <v>8334</v>
      </c>
      <c r="E95">
        <v>8404</v>
      </c>
      <c r="F95">
        <v>8404</v>
      </c>
      <c r="G95">
        <v>8404</v>
      </c>
      <c r="I95">
        <v>584</v>
      </c>
      <c r="J95">
        <v>1464</v>
      </c>
      <c r="K95">
        <v>1584</v>
      </c>
      <c r="L95">
        <v>2164</v>
      </c>
    </row>
    <row r="96" spans="1:12" x14ac:dyDescent="0.2">
      <c r="A96" t="s">
        <v>5</v>
      </c>
      <c r="B96" t="s">
        <v>116</v>
      </c>
      <c r="C96" t="s">
        <v>196</v>
      </c>
      <c r="D96">
        <v>8438</v>
      </c>
      <c r="E96">
        <v>8338</v>
      </c>
      <c r="F96">
        <v>8338</v>
      </c>
      <c r="I96">
        <v>1364.5</v>
      </c>
      <c r="J96">
        <v>2558</v>
      </c>
      <c r="K96">
        <v>2778</v>
      </c>
    </row>
    <row r="97" spans="1:12" x14ac:dyDescent="0.2">
      <c r="A97" t="s">
        <v>5</v>
      </c>
      <c r="B97" t="s">
        <v>116</v>
      </c>
      <c r="C97" t="s">
        <v>197</v>
      </c>
      <c r="D97">
        <v>9118</v>
      </c>
      <c r="E97">
        <v>9118</v>
      </c>
      <c r="I97">
        <v>798</v>
      </c>
      <c r="J97">
        <v>1798</v>
      </c>
    </row>
    <row r="98" spans="1:12" x14ac:dyDescent="0.2">
      <c r="A98" t="s">
        <v>5</v>
      </c>
      <c r="B98" t="s">
        <v>116</v>
      </c>
      <c r="C98" t="s">
        <v>198</v>
      </c>
      <c r="D98">
        <v>9445</v>
      </c>
      <c r="I98">
        <v>958.5</v>
      </c>
    </row>
    <row r="99" spans="1:12" x14ac:dyDescent="0.2">
      <c r="A99" t="s">
        <v>5</v>
      </c>
      <c r="B99" t="s">
        <v>114</v>
      </c>
      <c r="C99" t="s">
        <v>195</v>
      </c>
      <c r="D99">
        <v>353372.75</v>
      </c>
      <c r="E99">
        <v>349739.25</v>
      </c>
      <c r="F99">
        <v>342297.5</v>
      </c>
      <c r="G99">
        <v>335617.5</v>
      </c>
      <c r="I99">
        <v>49773</v>
      </c>
      <c r="J99">
        <v>101859.25</v>
      </c>
      <c r="K99">
        <v>146381.25</v>
      </c>
      <c r="L99">
        <v>172745.75</v>
      </c>
    </row>
    <row r="100" spans="1:12" x14ac:dyDescent="0.2">
      <c r="A100" t="s">
        <v>5</v>
      </c>
      <c r="B100" t="s">
        <v>114</v>
      </c>
      <c r="C100" t="s">
        <v>196</v>
      </c>
      <c r="D100">
        <v>428132</v>
      </c>
      <c r="E100">
        <v>422422</v>
      </c>
      <c r="F100">
        <v>416412</v>
      </c>
      <c r="I100">
        <v>68271.45</v>
      </c>
      <c r="J100">
        <v>127758.23</v>
      </c>
      <c r="K100">
        <v>177342.8</v>
      </c>
    </row>
    <row r="101" spans="1:12" x14ac:dyDescent="0.2">
      <c r="A101" t="s">
        <v>5</v>
      </c>
      <c r="B101" t="s">
        <v>114</v>
      </c>
      <c r="C101" t="s">
        <v>197</v>
      </c>
      <c r="D101">
        <v>389488</v>
      </c>
      <c r="E101">
        <v>385581.25</v>
      </c>
      <c r="I101">
        <v>71691.25</v>
      </c>
      <c r="J101">
        <v>121638.42</v>
      </c>
    </row>
    <row r="102" spans="1:12" x14ac:dyDescent="0.2">
      <c r="A102" t="s">
        <v>5</v>
      </c>
      <c r="B102" t="s">
        <v>114</v>
      </c>
      <c r="C102" t="s">
        <v>198</v>
      </c>
      <c r="D102">
        <v>367379.75</v>
      </c>
      <c r="I102">
        <v>49777.2</v>
      </c>
    </row>
    <row r="103" spans="1:12" x14ac:dyDescent="0.2">
      <c r="A103" t="s">
        <v>5</v>
      </c>
      <c r="B103" t="s">
        <v>111</v>
      </c>
      <c r="C103" t="s">
        <v>195</v>
      </c>
      <c r="D103">
        <v>249823.21</v>
      </c>
      <c r="E103">
        <v>249823.21</v>
      </c>
      <c r="F103">
        <v>249823.21</v>
      </c>
      <c r="G103">
        <v>249823.21</v>
      </c>
      <c r="I103">
        <v>249525.21</v>
      </c>
      <c r="J103">
        <v>249534.21</v>
      </c>
      <c r="K103">
        <v>249534.21</v>
      </c>
      <c r="L103">
        <v>249534.21</v>
      </c>
    </row>
    <row r="104" spans="1:12" x14ac:dyDescent="0.2">
      <c r="A104" t="s">
        <v>5</v>
      </c>
      <c r="B104" t="s">
        <v>111</v>
      </c>
      <c r="C104" t="s">
        <v>196</v>
      </c>
      <c r="D104">
        <v>276005</v>
      </c>
      <c r="E104">
        <v>276005</v>
      </c>
      <c r="F104">
        <v>276005</v>
      </c>
      <c r="I104">
        <v>274846</v>
      </c>
      <c r="J104">
        <v>275097</v>
      </c>
      <c r="K104">
        <v>275246</v>
      </c>
    </row>
    <row r="105" spans="1:12" x14ac:dyDescent="0.2">
      <c r="A105" t="s">
        <v>5</v>
      </c>
      <c r="B105" t="s">
        <v>111</v>
      </c>
      <c r="C105" t="s">
        <v>197</v>
      </c>
      <c r="D105">
        <v>281310.43</v>
      </c>
      <c r="E105">
        <v>281310.43</v>
      </c>
      <c r="I105">
        <v>279704.43</v>
      </c>
      <c r="J105">
        <v>279794.43</v>
      </c>
    </row>
    <row r="106" spans="1:12" x14ac:dyDescent="0.2">
      <c r="A106" t="s">
        <v>5</v>
      </c>
      <c r="B106" t="s">
        <v>111</v>
      </c>
      <c r="C106" t="s">
        <v>198</v>
      </c>
      <c r="D106">
        <v>260887.55</v>
      </c>
      <c r="I106">
        <v>259524.55</v>
      </c>
    </row>
    <row r="107" spans="1:12" x14ac:dyDescent="0.2">
      <c r="A107" t="s">
        <v>5</v>
      </c>
      <c r="B107" t="s">
        <v>112</v>
      </c>
      <c r="C107" t="s">
        <v>195</v>
      </c>
      <c r="D107">
        <v>174899.07</v>
      </c>
      <c r="E107">
        <v>174315.57</v>
      </c>
      <c r="F107">
        <v>174385.57</v>
      </c>
      <c r="G107">
        <v>174385.57</v>
      </c>
      <c r="I107">
        <v>174104.07</v>
      </c>
      <c r="J107">
        <v>173705.57</v>
      </c>
      <c r="K107">
        <v>173705.57</v>
      </c>
      <c r="L107">
        <v>173775.57</v>
      </c>
    </row>
    <row r="108" spans="1:12" x14ac:dyDescent="0.2">
      <c r="A108" t="s">
        <v>5</v>
      </c>
      <c r="B108" t="s">
        <v>112</v>
      </c>
      <c r="C108" t="s">
        <v>196</v>
      </c>
      <c r="D108">
        <v>211471.27</v>
      </c>
      <c r="E108">
        <v>211582.27</v>
      </c>
      <c r="F108">
        <v>211582.27</v>
      </c>
      <c r="I108">
        <v>211065.07</v>
      </c>
      <c r="J108">
        <v>210880.07</v>
      </c>
      <c r="K108">
        <v>211020.07</v>
      </c>
    </row>
    <row r="109" spans="1:12" x14ac:dyDescent="0.2">
      <c r="A109" t="s">
        <v>5</v>
      </c>
      <c r="B109" t="s">
        <v>112</v>
      </c>
      <c r="C109" t="s">
        <v>197</v>
      </c>
      <c r="D109">
        <v>223075.94</v>
      </c>
      <c r="E109">
        <v>223075.94</v>
      </c>
      <c r="I109">
        <v>222580.94</v>
      </c>
      <c r="J109">
        <v>222580.94</v>
      </c>
    </row>
    <row r="110" spans="1:12" x14ac:dyDescent="0.2">
      <c r="A110" t="s">
        <v>5</v>
      </c>
      <c r="B110" t="s">
        <v>112</v>
      </c>
      <c r="C110" t="s">
        <v>198</v>
      </c>
      <c r="D110">
        <v>218315.42</v>
      </c>
      <c r="I110">
        <v>217830.39999999999</v>
      </c>
    </row>
    <row r="111" spans="1:12" x14ac:dyDescent="0.2">
      <c r="A111" t="s">
        <v>5</v>
      </c>
      <c r="B111" t="s">
        <v>115</v>
      </c>
      <c r="C111" t="s">
        <v>195</v>
      </c>
      <c r="D111">
        <v>740872.8</v>
      </c>
      <c r="E111">
        <v>703966.88</v>
      </c>
      <c r="F111">
        <v>705012.88</v>
      </c>
      <c r="G111">
        <v>704552.88</v>
      </c>
      <c r="I111">
        <v>351004.19</v>
      </c>
      <c r="J111">
        <v>588131.32999999996</v>
      </c>
      <c r="K111">
        <v>613145.32999999996</v>
      </c>
      <c r="L111">
        <v>626127.07999999996</v>
      </c>
    </row>
    <row r="112" spans="1:12" x14ac:dyDescent="0.2">
      <c r="A112" t="s">
        <v>5</v>
      </c>
      <c r="B112" t="s">
        <v>115</v>
      </c>
      <c r="C112" t="s">
        <v>196</v>
      </c>
      <c r="D112">
        <v>1026652.57</v>
      </c>
      <c r="E112">
        <v>981171.73</v>
      </c>
      <c r="F112">
        <v>978448.73</v>
      </c>
      <c r="I112">
        <v>514028.46</v>
      </c>
      <c r="J112">
        <v>806127.18</v>
      </c>
      <c r="K112">
        <v>837857.08</v>
      </c>
    </row>
    <row r="113" spans="1:12" x14ac:dyDescent="0.2">
      <c r="A113" t="s">
        <v>5</v>
      </c>
      <c r="B113" t="s">
        <v>115</v>
      </c>
      <c r="C113" t="s">
        <v>197</v>
      </c>
      <c r="D113">
        <v>844915.61</v>
      </c>
      <c r="E113">
        <v>823765.31</v>
      </c>
      <c r="I113">
        <v>445982.63</v>
      </c>
      <c r="J113">
        <v>646495.81000000006</v>
      </c>
    </row>
    <row r="114" spans="1:12" x14ac:dyDescent="0.2">
      <c r="A114" t="s">
        <v>5</v>
      </c>
      <c r="B114" t="s">
        <v>115</v>
      </c>
      <c r="C114" t="s">
        <v>198</v>
      </c>
      <c r="D114">
        <v>678073.47</v>
      </c>
      <c r="I114">
        <v>319787.21999999997</v>
      </c>
    </row>
    <row r="115" spans="1:12" x14ac:dyDescent="0.2">
      <c r="A115" t="s">
        <v>5</v>
      </c>
      <c r="B115" t="s">
        <v>113</v>
      </c>
      <c r="C115" t="s">
        <v>195</v>
      </c>
      <c r="D115">
        <v>64683</v>
      </c>
      <c r="E115">
        <v>64683</v>
      </c>
      <c r="F115">
        <v>64683</v>
      </c>
      <c r="G115">
        <v>64683</v>
      </c>
      <c r="I115">
        <v>64683</v>
      </c>
      <c r="J115">
        <v>64683</v>
      </c>
      <c r="K115">
        <v>64683</v>
      </c>
      <c r="L115">
        <v>64683</v>
      </c>
    </row>
    <row r="116" spans="1:12" x14ac:dyDescent="0.2">
      <c r="A116" t="s">
        <v>5</v>
      </c>
      <c r="B116" t="s">
        <v>113</v>
      </c>
      <c r="C116" t="s">
        <v>196</v>
      </c>
      <c r="D116">
        <v>58343</v>
      </c>
      <c r="E116">
        <v>58343</v>
      </c>
      <c r="F116">
        <v>58343</v>
      </c>
      <c r="I116">
        <v>57998</v>
      </c>
      <c r="J116">
        <v>57998</v>
      </c>
      <c r="K116">
        <v>57998</v>
      </c>
    </row>
    <row r="117" spans="1:12" x14ac:dyDescent="0.2">
      <c r="A117" t="s">
        <v>5</v>
      </c>
      <c r="B117" t="s">
        <v>113</v>
      </c>
      <c r="C117" t="s">
        <v>197</v>
      </c>
      <c r="D117">
        <v>69799</v>
      </c>
      <c r="E117">
        <v>69799</v>
      </c>
      <c r="I117">
        <v>69337</v>
      </c>
      <c r="J117">
        <v>69337</v>
      </c>
    </row>
    <row r="118" spans="1:12" x14ac:dyDescent="0.2">
      <c r="A118" t="s">
        <v>5</v>
      </c>
      <c r="B118" t="s">
        <v>113</v>
      </c>
      <c r="C118" t="s">
        <v>198</v>
      </c>
      <c r="D118">
        <v>67111.41</v>
      </c>
      <c r="I118">
        <v>66880.41</v>
      </c>
    </row>
    <row r="119" spans="1:12" x14ac:dyDescent="0.2">
      <c r="A119" t="s">
        <v>5</v>
      </c>
      <c r="B119" t="s">
        <v>72</v>
      </c>
      <c r="C119" t="s">
        <v>195</v>
      </c>
      <c r="D119">
        <v>107329.5</v>
      </c>
      <c r="E119">
        <v>107309.5</v>
      </c>
      <c r="F119">
        <v>106092</v>
      </c>
      <c r="G119">
        <v>106092</v>
      </c>
      <c r="I119">
        <v>104094.5</v>
      </c>
      <c r="J119">
        <v>104492</v>
      </c>
      <c r="K119">
        <v>104492</v>
      </c>
      <c r="L119">
        <v>104492</v>
      </c>
    </row>
    <row r="120" spans="1:12" x14ac:dyDescent="0.2">
      <c r="A120" t="s">
        <v>5</v>
      </c>
      <c r="B120" t="s">
        <v>72</v>
      </c>
      <c r="C120" t="s">
        <v>196</v>
      </c>
      <c r="D120">
        <v>133984.5</v>
      </c>
      <c r="E120">
        <v>132869</v>
      </c>
      <c r="F120">
        <v>132869</v>
      </c>
      <c r="I120">
        <v>130464</v>
      </c>
      <c r="J120">
        <v>130871.5</v>
      </c>
      <c r="K120">
        <v>130871.5</v>
      </c>
    </row>
    <row r="121" spans="1:12" x14ac:dyDescent="0.2">
      <c r="A121" t="s">
        <v>5</v>
      </c>
      <c r="B121" t="s">
        <v>72</v>
      </c>
      <c r="C121" t="s">
        <v>197</v>
      </c>
      <c r="D121">
        <v>136497.5</v>
      </c>
      <c r="E121">
        <v>136090</v>
      </c>
      <c r="I121">
        <v>134774.5</v>
      </c>
      <c r="J121">
        <v>134785</v>
      </c>
    </row>
    <row r="122" spans="1:12" x14ac:dyDescent="0.2">
      <c r="A122" t="s">
        <v>5</v>
      </c>
      <c r="B122" t="s">
        <v>72</v>
      </c>
      <c r="C122" t="s">
        <v>198</v>
      </c>
      <c r="D122">
        <v>120852.5</v>
      </c>
      <c r="I122">
        <v>118146.5</v>
      </c>
    </row>
    <row r="123" spans="1:12" x14ac:dyDescent="0.2">
      <c r="A123" t="s">
        <v>6</v>
      </c>
      <c r="B123" t="s">
        <v>109</v>
      </c>
      <c r="C123" t="s">
        <v>195</v>
      </c>
      <c r="D123">
        <v>375524.64</v>
      </c>
      <c r="E123">
        <v>375524.64</v>
      </c>
      <c r="F123">
        <v>375524.64</v>
      </c>
      <c r="G123">
        <v>375524.64</v>
      </c>
      <c r="I123">
        <v>3679.87</v>
      </c>
      <c r="J123">
        <v>11152.19</v>
      </c>
      <c r="K123">
        <v>15920.02</v>
      </c>
      <c r="L123">
        <v>19400.13</v>
      </c>
    </row>
    <row r="124" spans="1:12" x14ac:dyDescent="0.2">
      <c r="A124" t="s">
        <v>6</v>
      </c>
      <c r="B124" t="s">
        <v>109</v>
      </c>
      <c r="C124" t="s">
        <v>196</v>
      </c>
      <c r="D124">
        <v>350320</v>
      </c>
      <c r="E124">
        <v>350320</v>
      </c>
      <c r="F124">
        <v>350320</v>
      </c>
      <c r="I124">
        <v>5928.62</v>
      </c>
      <c r="J124">
        <v>8798.43</v>
      </c>
      <c r="K124">
        <v>12328.89</v>
      </c>
    </row>
    <row r="125" spans="1:12" x14ac:dyDescent="0.2">
      <c r="A125" t="s">
        <v>6</v>
      </c>
      <c r="B125" t="s">
        <v>109</v>
      </c>
      <c r="C125" t="s">
        <v>197</v>
      </c>
      <c r="D125">
        <v>250114.55</v>
      </c>
      <c r="E125">
        <v>250114.55</v>
      </c>
      <c r="I125">
        <v>4634.4799999999996</v>
      </c>
      <c r="J125">
        <v>8169.57</v>
      </c>
    </row>
    <row r="126" spans="1:12" x14ac:dyDescent="0.2">
      <c r="A126" t="s">
        <v>6</v>
      </c>
      <c r="B126" t="s">
        <v>109</v>
      </c>
      <c r="C126" t="s">
        <v>198</v>
      </c>
      <c r="D126">
        <v>71233.600000000006</v>
      </c>
      <c r="I126">
        <v>3472.16</v>
      </c>
    </row>
    <row r="127" spans="1:12" x14ac:dyDescent="0.2">
      <c r="A127" t="s">
        <v>6</v>
      </c>
      <c r="B127" t="s">
        <v>145</v>
      </c>
      <c r="C127" t="s">
        <v>195</v>
      </c>
      <c r="D127">
        <v>271355.76</v>
      </c>
      <c r="E127">
        <v>271355.76</v>
      </c>
      <c r="F127">
        <v>271355.76</v>
      </c>
      <c r="G127">
        <v>271355.76</v>
      </c>
      <c r="I127">
        <v>0</v>
      </c>
      <c r="J127">
        <v>0</v>
      </c>
      <c r="K127">
        <v>0</v>
      </c>
      <c r="L127">
        <v>0</v>
      </c>
    </row>
    <row r="128" spans="1:12" x14ac:dyDescent="0.2">
      <c r="A128" t="s">
        <v>6</v>
      </c>
      <c r="B128" t="s">
        <v>145</v>
      </c>
      <c r="C128" t="s">
        <v>196</v>
      </c>
      <c r="D128">
        <v>0</v>
      </c>
      <c r="E128">
        <v>0</v>
      </c>
      <c r="F128">
        <v>0</v>
      </c>
      <c r="I128">
        <v>0</v>
      </c>
      <c r="J128">
        <v>0</v>
      </c>
      <c r="K128">
        <v>0</v>
      </c>
    </row>
    <row r="129" spans="1:12" x14ac:dyDescent="0.2">
      <c r="A129" t="s">
        <v>6</v>
      </c>
      <c r="B129" t="s">
        <v>145</v>
      </c>
      <c r="C129" t="s">
        <v>197</v>
      </c>
      <c r="D129">
        <v>105538</v>
      </c>
      <c r="E129">
        <v>105538</v>
      </c>
      <c r="I129">
        <v>0</v>
      </c>
      <c r="J129">
        <v>0</v>
      </c>
    </row>
    <row r="130" spans="1:12" x14ac:dyDescent="0.2">
      <c r="A130" t="s">
        <v>6</v>
      </c>
      <c r="B130" t="s">
        <v>145</v>
      </c>
      <c r="C130" t="s">
        <v>198</v>
      </c>
      <c r="D130">
        <v>0</v>
      </c>
      <c r="I130">
        <v>0</v>
      </c>
    </row>
    <row r="131" spans="1:12" x14ac:dyDescent="0.2">
      <c r="A131" t="s">
        <v>6</v>
      </c>
      <c r="B131" t="s">
        <v>110</v>
      </c>
      <c r="C131" t="s">
        <v>195</v>
      </c>
      <c r="D131">
        <v>34016</v>
      </c>
      <c r="E131">
        <v>34161</v>
      </c>
      <c r="F131">
        <v>34061</v>
      </c>
      <c r="G131">
        <v>33688</v>
      </c>
      <c r="I131">
        <v>4616.5</v>
      </c>
      <c r="J131">
        <v>11090.5</v>
      </c>
      <c r="K131">
        <v>12726.38</v>
      </c>
      <c r="L131">
        <v>13731.38</v>
      </c>
    </row>
    <row r="132" spans="1:12" x14ac:dyDescent="0.2">
      <c r="A132" t="s">
        <v>6</v>
      </c>
      <c r="B132" t="s">
        <v>110</v>
      </c>
      <c r="C132" t="s">
        <v>196</v>
      </c>
      <c r="D132">
        <v>36397.69</v>
      </c>
      <c r="E132">
        <v>36391.69</v>
      </c>
      <c r="F132">
        <v>36466.69</v>
      </c>
      <c r="I132">
        <v>6832.05</v>
      </c>
      <c r="J132">
        <v>10492.69</v>
      </c>
      <c r="K132">
        <v>12349.19</v>
      </c>
    </row>
    <row r="133" spans="1:12" x14ac:dyDescent="0.2">
      <c r="A133" t="s">
        <v>6</v>
      </c>
      <c r="B133" t="s">
        <v>110</v>
      </c>
      <c r="C133" t="s">
        <v>197</v>
      </c>
      <c r="D133">
        <v>36187.51</v>
      </c>
      <c r="E133">
        <v>36062.51</v>
      </c>
      <c r="I133">
        <v>6105.51</v>
      </c>
      <c r="J133">
        <v>7970.51</v>
      </c>
    </row>
    <row r="134" spans="1:12" x14ac:dyDescent="0.2">
      <c r="A134" t="s">
        <v>6</v>
      </c>
      <c r="B134" t="s">
        <v>110</v>
      </c>
      <c r="C134" t="s">
        <v>198</v>
      </c>
      <c r="D134">
        <v>26491.75</v>
      </c>
      <c r="I134">
        <v>1625.86</v>
      </c>
    </row>
    <row r="135" spans="1:12" x14ac:dyDescent="0.2">
      <c r="A135" t="s">
        <v>6</v>
      </c>
      <c r="B135" t="s">
        <v>116</v>
      </c>
      <c r="C135" t="s">
        <v>195</v>
      </c>
      <c r="D135">
        <v>3195</v>
      </c>
      <c r="E135">
        <v>3195</v>
      </c>
      <c r="F135">
        <v>3195</v>
      </c>
      <c r="G135">
        <v>3195</v>
      </c>
      <c r="I135">
        <v>170</v>
      </c>
      <c r="J135">
        <v>170</v>
      </c>
      <c r="K135">
        <v>170</v>
      </c>
      <c r="L135">
        <v>170</v>
      </c>
    </row>
    <row r="136" spans="1:12" x14ac:dyDescent="0.2">
      <c r="A136" t="s">
        <v>6</v>
      </c>
      <c r="B136" t="s">
        <v>116</v>
      </c>
      <c r="C136" t="s">
        <v>196</v>
      </c>
      <c r="D136">
        <v>1426</v>
      </c>
      <c r="E136">
        <v>1426</v>
      </c>
      <c r="F136">
        <v>1176</v>
      </c>
      <c r="I136">
        <v>250</v>
      </c>
      <c r="J136">
        <v>250</v>
      </c>
      <c r="K136">
        <v>250</v>
      </c>
    </row>
    <row r="137" spans="1:12" x14ac:dyDescent="0.2">
      <c r="A137" t="s">
        <v>6</v>
      </c>
      <c r="B137" t="s">
        <v>116</v>
      </c>
      <c r="C137" t="s">
        <v>197</v>
      </c>
      <c r="D137">
        <v>2858</v>
      </c>
      <c r="E137">
        <v>2858</v>
      </c>
      <c r="I137">
        <v>455</v>
      </c>
      <c r="J137">
        <v>590</v>
      </c>
    </row>
    <row r="138" spans="1:12" x14ac:dyDescent="0.2">
      <c r="A138" t="s">
        <v>6</v>
      </c>
      <c r="B138" t="s">
        <v>116</v>
      </c>
      <c r="C138" t="s">
        <v>198</v>
      </c>
      <c r="D138">
        <v>0</v>
      </c>
      <c r="I138">
        <v>0</v>
      </c>
    </row>
    <row r="139" spans="1:12" x14ac:dyDescent="0.2">
      <c r="A139" t="s">
        <v>6</v>
      </c>
      <c r="B139" t="s">
        <v>114</v>
      </c>
      <c r="C139" t="s">
        <v>195</v>
      </c>
      <c r="D139">
        <v>33894.75</v>
      </c>
      <c r="E139">
        <v>34142.75</v>
      </c>
      <c r="F139">
        <v>33744.75</v>
      </c>
      <c r="G139">
        <v>33744.75</v>
      </c>
      <c r="I139">
        <v>5947.5</v>
      </c>
      <c r="J139">
        <v>12888.75</v>
      </c>
      <c r="K139">
        <v>17750.25</v>
      </c>
      <c r="L139">
        <v>18194.25</v>
      </c>
    </row>
    <row r="140" spans="1:12" x14ac:dyDescent="0.2">
      <c r="A140" t="s">
        <v>6</v>
      </c>
      <c r="B140" t="s">
        <v>114</v>
      </c>
      <c r="C140" t="s">
        <v>196</v>
      </c>
      <c r="D140">
        <v>37152</v>
      </c>
      <c r="E140">
        <v>37102</v>
      </c>
      <c r="F140">
        <v>37102</v>
      </c>
      <c r="I140">
        <v>6837.5</v>
      </c>
      <c r="J140">
        <v>13092.5</v>
      </c>
      <c r="K140">
        <v>17888.5</v>
      </c>
    </row>
    <row r="141" spans="1:12" x14ac:dyDescent="0.2">
      <c r="A141" t="s">
        <v>6</v>
      </c>
      <c r="B141" t="s">
        <v>114</v>
      </c>
      <c r="C141" t="s">
        <v>197</v>
      </c>
      <c r="D141">
        <v>35518</v>
      </c>
      <c r="E141">
        <v>35493</v>
      </c>
      <c r="I141">
        <v>5612.71</v>
      </c>
      <c r="J141">
        <v>9016.2999999999993</v>
      </c>
    </row>
    <row r="142" spans="1:12" x14ac:dyDescent="0.2">
      <c r="A142" t="s">
        <v>6</v>
      </c>
      <c r="B142" t="s">
        <v>114</v>
      </c>
      <c r="C142" t="s">
        <v>198</v>
      </c>
      <c r="D142">
        <v>37123.25</v>
      </c>
      <c r="I142">
        <v>5061.5</v>
      </c>
    </row>
    <row r="143" spans="1:12" x14ac:dyDescent="0.2">
      <c r="A143" t="s">
        <v>6</v>
      </c>
      <c r="B143" t="s">
        <v>111</v>
      </c>
      <c r="C143" t="s">
        <v>195</v>
      </c>
      <c r="D143">
        <v>26718.5</v>
      </c>
      <c r="E143">
        <v>26718.5</v>
      </c>
      <c r="F143">
        <v>26718.5</v>
      </c>
      <c r="G143">
        <v>26718.5</v>
      </c>
      <c r="I143">
        <v>25450.5</v>
      </c>
      <c r="J143">
        <v>25500.5</v>
      </c>
      <c r="K143">
        <v>25525.49</v>
      </c>
      <c r="L143">
        <v>25525.49</v>
      </c>
    </row>
    <row r="144" spans="1:12" x14ac:dyDescent="0.2">
      <c r="A144" t="s">
        <v>6</v>
      </c>
      <c r="B144" t="s">
        <v>111</v>
      </c>
      <c r="C144" t="s">
        <v>196</v>
      </c>
      <c r="D144">
        <v>27008</v>
      </c>
      <c r="E144">
        <v>26608</v>
      </c>
      <c r="F144">
        <v>26608</v>
      </c>
      <c r="I144">
        <v>26566</v>
      </c>
      <c r="J144">
        <v>26608</v>
      </c>
      <c r="K144">
        <v>26608</v>
      </c>
    </row>
    <row r="145" spans="1:12" x14ac:dyDescent="0.2">
      <c r="A145" t="s">
        <v>6</v>
      </c>
      <c r="B145" t="s">
        <v>111</v>
      </c>
      <c r="C145" t="s">
        <v>197</v>
      </c>
      <c r="D145">
        <v>25937</v>
      </c>
      <c r="E145">
        <v>25937</v>
      </c>
      <c r="I145">
        <v>23353</v>
      </c>
      <c r="J145">
        <v>24861.95</v>
      </c>
    </row>
    <row r="146" spans="1:12" x14ac:dyDescent="0.2">
      <c r="A146" t="s">
        <v>6</v>
      </c>
      <c r="B146" t="s">
        <v>111</v>
      </c>
      <c r="C146" t="s">
        <v>198</v>
      </c>
      <c r="D146">
        <v>21846</v>
      </c>
      <c r="I146">
        <v>18601</v>
      </c>
    </row>
    <row r="147" spans="1:12" x14ac:dyDescent="0.2">
      <c r="A147" t="s">
        <v>6</v>
      </c>
      <c r="B147" t="s">
        <v>112</v>
      </c>
      <c r="C147" t="s">
        <v>195</v>
      </c>
      <c r="D147">
        <v>28370</v>
      </c>
      <c r="E147">
        <v>28370</v>
      </c>
      <c r="F147">
        <v>28370</v>
      </c>
      <c r="G147">
        <v>28370</v>
      </c>
      <c r="I147">
        <v>28165</v>
      </c>
      <c r="J147">
        <v>28175</v>
      </c>
      <c r="K147">
        <v>28175</v>
      </c>
      <c r="L147">
        <v>28175</v>
      </c>
    </row>
    <row r="148" spans="1:12" x14ac:dyDescent="0.2">
      <c r="A148" t="s">
        <v>6</v>
      </c>
      <c r="B148" t="s">
        <v>112</v>
      </c>
      <c r="C148" t="s">
        <v>196</v>
      </c>
      <c r="D148">
        <v>27960</v>
      </c>
      <c r="E148">
        <v>27960</v>
      </c>
      <c r="F148">
        <v>27960</v>
      </c>
      <c r="I148">
        <v>27080</v>
      </c>
      <c r="J148">
        <v>27090</v>
      </c>
      <c r="K148">
        <v>27090</v>
      </c>
    </row>
    <row r="149" spans="1:12" x14ac:dyDescent="0.2">
      <c r="A149" t="s">
        <v>6</v>
      </c>
      <c r="B149" t="s">
        <v>112</v>
      </c>
      <c r="C149" t="s">
        <v>197</v>
      </c>
      <c r="D149">
        <v>34971</v>
      </c>
      <c r="E149">
        <v>34971</v>
      </c>
      <c r="I149">
        <v>34361</v>
      </c>
      <c r="J149">
        <v>34546</v>
      </c>
    </row>
    <row r="150" spans="1:12" x14ac:dyDescent="0.2">
      <c r="A150" t="s">
        <v>6</v>
      </c>
      <c r="B150" t="s">
        <v>112</v>
      </c>
      <c r="C150" t="s">
        <v>198</v>
      </c>
      <c r="D150">
        <v>28820</v>
      </c>
      <c r="I150">
        <v>27605</v>
      </c>
    </row>
    <row r="151" spans="1:12" x14ac:dyDescent="0.2">
      <c r="A151" t="s">
        <v>6</v>
      </c>
      <c r="B151" t="s">
        <v>115</v>
      </c>
      <c r="C151" t="s">
        <v>195</v>
      </c>
      <c r="D151">
        <v>361925.6</v>
      </c>
      <c r="E151">
        <v>352833.15</v>
      </c>
      <c r="F151">
        <v>351359.15</v>
      </c>
      <c r="G151">
        <v>350970.15</v>
      </c>
      <c r="I151">
        <v>112143.9</v>
      </c>
      <c r="J151">
        <v>285813.15000000002</v>
      </c>
      <c r="K151">
        <v>310195.15000000002</v>
      </c>
      <c r="L151">
        <v>315716.15000000002</v>
      </c>
    </row>
    <row r="152" spans="1:12" x14ac:dyDescent="0.2">
      <c r="A152" t="s">
        <v>6</v>
      </c>
      <c r="B152" t="s">
        <v>115</v>
      </c>
      <c r="C152" t="s">
        <v>196</v>
      </c>
      <c r="D152">
        <v>426634.05</v>
      </c>
      <c r="E152">
        <v>421962.8</v>
      </c>
      <c r="F152">
        <v>420446.8</v>
      </c>
      <c r="I152">
        <v>142802.70000000001</v>
      </c>
      <c r="J152">
        <v>334454.8</v>
      </c>
      <c r="K152">
        <v>373268.8</v>
      </c>
    </row>
    <row r="153" spans="1:12" x14ac:dyDescent="0.2">
      <c r="A153" t="s">
        <v>6</v>
      </c>
      <c r="B153" t="s">
        <v>115</v>
      </c>
      <c r="C153" t="s">
        <v>197</v>
      </c>
      <c r="D153">
        <v>484421.8</v>
      </c>
      <c r="E153">
        <v>475320.55</v>
      </c>
      <c r="I153">
        <v>166688.79999999999</v>
      </c>
      <c r="J153">
        <v>368530.55</v>
      </c>
    </row>
    <row r="154" spans="1:12" x14ac:dyDescent="0.2">
      <c r="A154" t="s">
        <v>6</v>
      </c>
      <c r="B154" t="s">
        <v>115</v>
      </c>
      <c r="C154" t="s">
        <v>198</v>
      </c>
      <c r="D154">
        <v>412594.8</v>
      </c>
      <c r="I154">
        <v>122291.8</v>
      </c>
    </row>
    <row r="155" spans="1:12" x14ac:dyDescent="0.2">
      <c r="A155" t="s">
        <v>6</v>
      </c>
      <c r="B155" t="s">
        <v>113</v>
      </c>
      <c r="C155" t="s">
        <v>195</v>
      </c>
      <c r="D155">
        <v>7223</v>
      </c>
      <c r="E155">
        <v>7223</v>
      </c>
      <c r="F155">
        <v>7223</v>
      </c>
      <c r="G155">
        <v>7223</v>
      </c>
      <c r="I155">
        <v>7223</v>
      </c>
      <c r="J155">
        <v>7223</v>
      </c>
      <c r="K155">
        <v>7223</v>
      </c>
      <c r="L155">
        <v>7223</v>
      </c>
    </row>
    <row r="156" spans="1:12" x14ac:dyDescent="0.2">
      <c r="A156" t="s">
        <v>6</v>
      </c>
      <c r="B156" t="s">
        <v>113</v>
      </c>
      <c r="C156" t="s">
        <v>196</v>
      </c>
      <c r="D156">
        <v>7713</v>
      </c>
      <c r="E156">
        <v>7713</v>
      </c>
      <c r="F156">
        <v>7713</v>
      </c>
      <c r="I156">
        <v>7713</v>
      </c>
      <c r="J156">
        <v>7713</v>
      </c>
      <c r="K156">
        <v>7713</v>
      </c>
    </row>
    <row r="157" spans="1:12" x14ac:dyDescent="0.2">
      <c r="A157" t="s">
        <v>6</v>
      </c>
      <c r="B157" t="s">
        <v>113</v>
      </c>
      <c r="C157" t="s">
        <v>197</v>
      </c>
      <c r="D157">
        <v>10044</v>
      </c>
      <c r="E157">
        <v>10044</v>
      </c>
      <c r="I157">
        <v>10044</v>
      </c>
      <c r="J157">
        <v>10044</v>
      </c>
    </row>
    <row r="158" spans="1:12" x14ac:dyDescent="0.2">
      <c r="A158" t="s">
        <v>6</v>
      </c>
      <c r="B158" t="s">
        <v>113</v>
      </c>
      <c r="C158" t="s">
        <v>198</v>
      </c>
      <c r="D158">
        <v>6038</v>
      </c>
      <c r="I158">
        <v>6038</v>
      </c>
    </row>
    <row r="159" spans="1:12" x14ac:dyDescent="0.2">
      <c r="A159" t="s">
        <v>6</v>
      </c>
      <c r="B159" t="s">
        <v>72</v>
      </c>
      <c r="C159" t="s">
        <v>195</v>
      </c>
      <c r="D159">
        <v>14868</v>
      </c>
      <c r="E159">
        <v>14918</v>
      </c>
      <c r="F159">
        <v>14918</v>
      </c>
      <c r="G159">
        <v>14918</v>
      </c>
      <c r="I159">
        <v>12492</v>
      </c>
      <c r="J159">
        <v>12542</v>
      </c>
      <c r="K159">
        <v>12542</v>
      </c>
      <c r="L159">
        <v>12542</v>
      </c>
    </row>
    <row r="160" spans="1:12" x14ac:dyDescent="0.2">
      <c r="A160" t="s">
        <v>6</v>
      </c>
      <c r="B160" t="s">
        <v>72</v>
      </c>
      <c r="C160" t="s">
        <v>196</v>
      </c>
      <c r="D160">
        <v>20910.5</v>
      </c>
      <c r="E160">
        <v>20910.5</v>
      </c>
      <c r="F160">
        <v>20908.5</v>
      </c>
      <c r="I160">
        <v>17645.5</v>
      </c>
      <c r="J160">
        <v>17645.5</v>
      </c>
      <c r="K160">
        <v>17645.5</v>
      </c>
    </row>
    <row r="161" spans="1:12" x14ac:dyDescent="0.2">
      <c r="A161" t="s">
        <v>6</v>
      </c>
      <c r="B161" t="s">
        <v>72</v>
      </c>
      <c r="C161" t="s">
        <v>197</v>
      </c>
      <c r="D161">
        <v>23119</v>
      </c>
      <c r="E161">
        <v>23119</v>
      </c>
      <c r="I161">
        <v>19163</v>
      </c>
      <c r="J161">
        <v>19163</v>
      </c>
    </row>
    <row r="162" spans="1:12" x14ac:dyDescent="0.2">
      <c r="A162" t="s">
        <v>6</v>
      </c>
      <c r="B162" t="s">
        <v>72</v>
      </c>
      <c r="C162" t="s">
        <v>198</v>
      </c>
      <c r="D162">
        <v>14705.5</v>
      </c>
      <c r="I162">
        <v>12243.5</v>
      </c>
    </row>
    <row r="163" spans="1:12" x14ac:dyDescent="0.2">
      <c r="A163" t="s">
        <v>7</v>
      </c>
      <c r="B163" t="s">
        <v>109</v>
      </c>
      <c r="C163" t="s">
        <v>195</v>
      </c>
      <c r="D163">
        <v>950675.9</v>
      </c>
      <c r="E163">
        <v>945295.9</v>
      </c>
      <c r="F163">
        <v>944605.9</v>
      </c>
      <c r="G163">
        <v>944147.4</v>
      </c>
      <c r="I163">
        <v>38570.839999999997</v>
      </c>
      <c r="J163">
        <v>56906.9</v>
      </c>
      <c r="K163">
        <v>68081.75</v>
      </c>
      <c r="L163">
        <v>82869.279999999999</v>
      </c>
    </row>
    <row r="164" spans="1:12" x14ac:dyDescent="0.2">
      <c r="A164" t="s">
        <v>7</v>
      </c>
      <c r="B164" t="s">
        <v>109</v>
      </c>
      <c r="C164" t="s">
        <v>196</v>
      </c>
      <c r="D164">
        <v>1621447.1</v>
      </c>
      <c r="E164">
        <v>1617015.6</v>
      </c>
      <c r="F164">
        <v>1615314.1</v>
      </c>
      <c r="I164">
        <v>49124.22</v>
      </c>
      <c r="J164">
        <v>65855.539999999994</v>
      </c>
      <c r="K164">
        <v>92027.4</v>
      </c>
    </row>
    <row r="165" spans="1:12" x14ac:dyDescent="0.2">
      <c r="A165" t="s">
        <v>7</v>
      </c>
      <c r="B165" t="s">
        <v>109</v>
      </c>
      <c r="C165" t="s">
        <v>197</v>
      </c>
      <c r="D165">
        <v>837425.56</v>
      </c>
      <c r="E165">
        <v>831517.56</v>
      </c>
      <c r="I165">
        <v>51081.22</v>
      </c>
      <c r="J165">
        <v>67390.41</v>
      </c>
    </row>
    <row r="166" spans="1:12" x14ac:dyDescent="0.2">
      <c r="A166" t="s">
        <v>7</v>
      </c>
      <c r="B166" t="s">
        <v>109</v>
      </c>
      <c r="C166" t="s">
        <v>198</v>
      </c>
      <c r="D166">
        <v>1200892.8500000001</v>
      </c>
      <c r="I166">
        <v>47542.239999999998</v>
      </c>
    </row>
    <row r="167" spans="1:12" x14ac:dyDescent="0.2">
      <c r="A167" t="s">
        <v>7</v>
      </c>
      <c r="B167" t="s">
        <v>145</v>
      </c>
      <c r="C167" t="s">
        <v>195</v>
      </c>
      <c r="D167">
        <v>318498</v>
      </c>
      <c r="E167">
        <v>318548</v>
      </c>
      <c r="F167">
        <v>318548</v>
      </c>
      <c r="G167">
        <v>318698</v>
      </c>
      <c r="I167">
        <v>136</v>
      </c>
      <c r="J167">
        <v>628</v>
      </c>
      <c r="K167">
        <v>628</v>
      </c>
      <c r="L167">
        <v>828</v>
      </c>
    </row>
    <row r="168" spans="1:12" x14ac:dyDescent="0.2">
      <c r="A168" t="s">
        <v>7</v>
      </c>
      <c r="B168" t="s">
        <v>145</v>
      </c>
      <c r="C168" t="s">
        <v>196</v>
      </c>
      <c r="D168">
        <v>817795</v>
      </c>
      <c r="E168">
        <v>817795</v>
      </c>
      <c r="F168">
        <v>817845</v>
      </c>
      <c r="I168">
        <v>266</v>
      </c>
      <c r="J168">
        <v>266</v>
      </c>
      <c r="K168">
        <v>266</v>
      </c>
    </row>
    <row r="169" spans="1:12" x14ac:dyDescent="0.2">
      <c r="A169" t="s">
        <v>7</v>
      </c>
      <c r="B169" t="s">
        <v>145</v>
      </c>
      <c r="C169" t="s">
        <v>197</v>
      </c>
      <c r="D169">
        <v>106488</v>
      </c>
      <c r="E169">
        <v>106538</v>
      </c>
      <c r="I169">
        <v>191</v>
      </c>
      <c r="J169">
        <v>191</v>
      </c>
    </row>
    <row r="170" spans="1:12" x14ac:dyDescent="0.2">
      <c r="A170" t="s">
        <v>7</v>
      </c>
      <c r="B170" t="s">
        <v>145</v>
      </c>
      <c r="C170" t="s">
        <v>198</v>
      </c>
      <c r="D170">
        <v>529567</v>
      </c>
      <c r="I170">
        <v>182</v>
      </c>
    </row>
    <row r="171" spans="1:12" x14ac:dyDescent="0.2">
      <c r="A171" t="s">
        <v>7</v>
      </c>
      <c r="B171" t="s">
        <v>110</v>
      </c>
      <c r="C171" t="s">
        <v>195</v>
      </c>
      <c r="D171">
        <v>444802.13</v>
      </c>
      <c r="E171">
        <v>438341.13</v>
      </c>
      <c r="F171">
        <v>436767.63</v>
      </c>
      <c r="G171">
        <v>436417.63</v>
      </c>
      <c r="I171">
        <v>74032.77</v>
      </c>
      <c r="J171">
        <v>113962.84</v>
      </c>
      <c r="K171">
        <v>140578.34</v>
      </c>
      <c r="L171">
        <v>160838.74</v>
      </c>
    </row>
    <row r="172" spans="1:12" x14ac:dyDescent="0.2">
      <c r="A172" t="s">
        <v>7</v>
      </c>
      <c r="B172" t="s">
        <v>110</v>
      </c>
      <c r="C172" t="s">
        <v>196</v>
      </c>
      <c r="D172">
        <v>533541.80000000005</v>
      </c>
      <c r="E172">
        <v>526798.30000000005</v>
      </c>
      <c r="F172">
        <v>525527.80000000005</v>
      </c>
      <c r="I172">
        <v>91605.22</v>
      </c>
      <c r="J172">
        <v>132039.47</v>
      </c>
      <c r="K172">
        <v>164212.01</v>
      </c>
    </row>
    <row r="173" spans="1:12" x14ac:dyDescent="0.2">
      <c r="A173" t="s">
        <v>7</v>
      </c>
      <c r="B173" t="s">
        <v>110</v>
      </c>
      <c r="C173" t="s">
        <v>197</v>
      </c>
      <c r="D173">
        <v>533896.4</v>
      </c>
      <c r="E173">
        <v>527699.4</v>
      </c>
      <c r="I173">
        <v>98837.86</v>
      </c>
      <c r="J173">
        <v>141347.54999999999</v>
      </c>
    </row>
    <row r="174" spans="1:12" x14ac:dyDescent="0.2">
      <c r="A174" t="s">
        <v>7</v>
      </c>
      <c r="B174" t="s">
        <v>110</v>
      </c>
      <c r="C174" t="s">
        <v>198</v>
      </c>
      <c r="D174">
        <v>490208.1</v>
      </c>
      <c r="I174">
        <v>91365.45</v>
      </c>
    </row>
    <row r="175" spans="1:12" x14ac:dyDescent="0.2">
      <c r="A175" t="s">
        <v>7</v>
      </c>
      <c r="B175" t="s">
        <v>116</v>
      </c>
      <c r="C175" t="s">
        <v>195</v>
      </c>
      <c r="D175">
        <v>34673.050000000003</v>
      </c>
      <c r="E175">
        <v>34473.050000000003</v>
      </c>
      <c r="F175">
        <v>34423.050000000003</v>
      </c>
      <c r="G175">
        <v>34073.050000000003</v>
      </c>
      <c r="I175">
        <v>607.04999999999995</v>
      </c>
      <c r="J175">
        <v>1251.05</v>
      </c>
      <c r="K175">
        <v>1705.05</v>
      </c>
      <c r="L175">
        <v>1936.05</v>
      </c>
    </row>
    <row r="176" spans="1:12" x14ac:dyDescent="0.2">
      <c r="A176" t="s">
        <v>7</v>
      </c>
      <c r="B176" t="s">
        <v>116</v>
      </c>
      <c r="C176" t="s">
        <v>196</v>
      </c>
      <c r="D176">
        <v>48038.35</v>
      </c>
      <c r="E176">
        <v>47588.35</v>
      </c>
      <c r="F176">
        <v>47088.35</v>
      </c>
      <c r="I176">
        <v>1296.8499999999999</v>
      </c>
      <c r="J176">
        <v>2356.85</v>
      </c>
      <c r="K176">
        <v>2712.85</v>
      </c>
    </row>
    <row r="177" spans="1:12" x14ac:dyDescent="0.2">
      <c r="A177" t="s">
        <v>7</v>
      </c>
      <c r="B177" t="s">
        <v>116</v>
      </c>
      <c r="C177" t="s">
        <v>197</v>
      </c>
      <c r="D177">
        <v>43913.4</v>
      </c>
      <c r="E177">
        <v>43313.4</v>
      </c>
      <c r="I177">
        <v>901.4</v>
      </c>
      <c r="J177">
        <v>1051.4000000000001</v>
      </c>
    </row>
    <row r="178" spans="1:12" x14ac:dyDescent="0.2">
      <c r="A178" t="s">
        <v>7</v>
      </c>
      <c r="B178" t="s">
        <v>116</v>
      </c>
      <c r="C178" t="s">
        <v>198</v>
      </c>
      <c r="D178">
        <v>33353.199999999997</v>
      </c>
      <c r="I178">
        <v>912.2</v>
      </c>
    </row>
    <row r="179" spans="1:12" x14ac:dyDescent="0.2">
      <c r="A179" t="s">
        <v>7</v>
      </c>
      <c r="B179" t="s">
        <v>114</v>
      </c>
      <c r="C179" t="s">
        <v>195</v>
      </c>
      <c r="D179">
        <v>582436.65</v>
      </c>
      <c r="E179">
        <v>578010.65</v>
      </c>
      <c r="F179">
        <v>574822.65</v>
      </c>
      <c r="G179">
        <v>572157.65</v>
      </c>
      <c r="I179">
        <v>115388.84</v>
      </c>
      <c r="J179">
        <v>192688.76</v>
      </c>
      <c r="K179">
        <v>255911.61</v>
      </c>
      <c r="L179">
        <v>291095.83</v>
      </c>
    </row>
    <row r="180" spans="1:12" x14ac:dyDescent="0.2">
      <c r="A180" t="s">
        <v>7</v>
      </c>
      <c r="B180" t="s">
        <v>114</v>
      </c>
      <c r="C180" t="s">
        <v>196</v>
      </c>
      <c r="D180">
        <v>661495.55000000005</v>
      </c>
      <c r="E180">
        <v>653070.55000000005</v>
      </c>
      <c r="F180">
        <v>648917.55000000005</v>
      </c>
      <c r="I180">
        <v>157326.35</v>
      </c>
      <c r="J180">
        <v>233951.06</v>
      </c>
      <c r="K180">
        <v>285584.81</v>
      </c>
    </row>
    <row r="181" spans="1:12" x14ac:dyDescent="0.2">
      <c r="A181" t="s">
        <v>7</v>
      </c>
      <c r="B181" t="s">
        <v>114</v>
      </c>
      <c r="C181" t="s">
        <v>197</v>
      </c>
      <c r="D181">
        <v>708400.85</v>
      </c>
      <c r="E181">
        <v>700378.85</v>
      </c>
      <c r="I181">
        <v>142628.46</v>
      </c>
      <c r="J181">
        <v>211869.65</v>
      </c>
    </row>
    <row r="182" spans="1:12" x14ac:dyDescent="0.2">
      <c r="A182" t="s">
        <v>7</v>
      </c>
      <c r="B182" t="s">
        <v>114</v>
      </c>
      <c r="C182" t="s">
        <v>198</v>
      </c>
      <c r="D182">
        <v>646730.35</v>
      </c>
      <c r="I182">
        <v>111429.81</v>
      </c>
    </row>
    <row r="183" spans="1:12" x14ac:dyDescent="0.2">
      <c r="A183" t="s">
        <v>7</v>
      </c>
      <c r="B183" t="s">
        <v>111</v>
      </c>
      <c r="C183" t="s">
        <v>195</v>
      </c>
      <c r="D183">
        <v>708770.09</v>
      </c>
      <c r="E183">
        <v>708740.09</v>
      </c>
      <c r="F183">
        <v>706734.09</v>
      </c>
      <c r="G183">
        <v>705932.09</v>
      </c>
      <c r="I183">
        <v>684666.55</v>
      </c>
      <c r="J183">
        <v>704954.87</v>
      </c>
      <c r="K183">
        <v>701665.51</v>
      </c>
      <c r="L183">
        <v>700463.68</v>
      </c>
    </row>
    <row r="184" spans="1:12" x14ac:dyDescent="0.2">
      <c r="A184" t="s">
        <v>7</v>
      </c>
      <c r="B184" t="s">
        <v>111</v>
      </c>
      <c r="C184" t="s">
        <v>196</v>
      </c>
      <c r="D184">
        <v>737282.73</v>
      </c>
      <c r="E184">
        <v>736881.73</v>
      </c>
      <c r="F184">
        <v>735574.73</v>
      </c>
      <c r="I184">
        <v>694238.11</v>
      </c>
      <c r="J184">
        <v>732207.13</v>
      </c>
      <c r="K184">
        <v>731009.51</v>
      </c>
    </row>
    <row r="185" spans="1:12" x14ac:dyDescent="0.2">
      <c r="A185" t="s">
        <v>7</v>
      </c>
      <c r="B185" t="s">
        <v>111</v>
      </c>
      <c r="C185" t="s">
        <v>197</v>
      </c>
      <c r="D185">
        <v>732643.06</v>
      </c>
      <c r="E185">
        <v>731336.06</v>
      </c>
      <c r="I185">
        <v>674818.7</v>
      </c>
      <c r="J185">
        <v>715308.79</v>
      </c>
    </row>
    <row r="186" spans="1:12" x14ac:dyDescent="0.2">
      <c r="A186" t="s">
        <v>7</v>
      </c>
      <c r="B186" t="s">
        <v>111</v>
      </c>
      <c r="C186" t="s">
        <v>198</v>
      </c>
      <c r="D186">
        <v>609476.69999999995</v>
      </c>
      <c r="I186">
        <v>576765.97</v>
      </c>
    </row>
    <row r="187" spans="1:12" x14ac:dyDescent="0.2">
      <c r="A187" t="s">
        <v>7</v>
      </c>
      <c r="B187" t="s">
        <v>112</v>
      </c>
      <c r="C187" t="s">
        <v>195</v>
      </c>
      <c r="D187">
        <v>487920.14</v>
      </c>
      <c r="E187">
        <v>487910.14</v>
      </c>
      <c r="F187">
        <v>487910.14</v>
      </c>
      <c r="G187">
        <v>487910.14</v>
      </c>
      <c r="I187">
        <v>475406.14</v>
      </c>
      <c r="J187">
        <v>484694.14</v>
      </c>
      <c r="K187">
        <v>484694.14</v>
      </c>
      <c r="L187">
        <v>485114.14</v>
      </c>
    </row>
    <row r="188" spans="1:12" x14ac:dyDescent="0.2">
      <c r="A188" t="s">
        <v>7</v>
      </c>
      <c r="B188" t="s">
        <v>112</v>
      </c>
      <c r="C188" t="s">
        <v>196</v>
      </c>
      <c r="D188">
        <v>581496.12</v>
      </c>
      <c r="E188">
        <v>581391.12</v>
      </c>
      <c r="F188">
        <v>581391.12</v>
      </c>
      <c r="I188">
        <v>555771.34</v>
      </c>
      <c r="J188">
        <v>578716.98</v>
      </c>
      <c r="K188">
        <v>578783.93999999994</v>
      </c>
    </row>
    <row r="189" spans="1:12" x14ac:dyDescent="0.2">
      <c r="A189" t="s">
        <v>7</v>
      </c>
      <c r="B189" t="s">
        <v>112</v>
      </c>
      <c r="C189" t="s">
        <v>197</v>
      </c>
      <c r="D189">
        <v>552598.56000000006</v>
      </c>
      <c r="E189">
        <v>552598.56000000006</v>
      </c>
      <c r="I189">
        <v>533395.72</v>
      </c>
      <c r="J189">
        <v>550130.72</v>
      </c>
    </row>
    <row r="190" spans="1:12" x14ac:dyDescent="0.2">
      <c r="A190" t="s">
        <v>7</v>
      </c>
      <c r="B190" t="s">
        <v>112</v>
      </c>
      <c r="C190" t="s">
        <v>198</v>
      </c>
      <c r="D190">
        <v>507059.64</v>
      </c>
      <c r="I190">
        <v>491596.14</v>
      </c>
    </row>
    <row r="191" spans="1:12" x14ac:dyDescent="0.2">
      <c r="A191" t="s">
        <v>7</v>
      </c>
      <c r="B191" t="s">
        <v>115</v>
      </c>
      <c r="C191" t="s">
        <v>195</v>
      </c>
      <c r="D191">
        <v>1139756.1000000001</v>
      </c>
      <c r="E191">
        <v>1088001.8999999999</v>
      </c>
      <c r="F191">
        <v>1085545.8999999999</v>
      </c>
      <c r="G191">
        <v>1085426.8999999999</v>
      </c>
      <c r="I191">
        <v>593037.85</v>
      </c>
      <c r="J191">
        <v>896156.16000000003</v>
      </c>
      <c r="K191">
        <v>954407.08</v>
      </c>
      <c r="L191">
        <v>972519.32</v>
      </c>
    </row>
    <row r="192" spans="1:12" x14ac:dyDescent="0.2">
      <c r="A192" t="s">
        <v>7</v>
      </c>
      <c r="B192" t="s">
        <v>115</v>
      </c>
      <c r="C192" t="s">
        <v>196</v>
      </c>
      <c r="D192">
        <v>1605788.95</v>
      </c>
      <c r="E192">
        <v>1542039.65</v>
      </c>
      <c r="F192">
        <v>1537809.65</v>
      </c>
      <c r="I192">
        <v>901177.09</v>
      </c>
      <c r="J192">
        <v>1259669.56</v>
      </c>
      <c r="K192">
        <v>1334452.45</v>
      </c>
    </row>
    <row r="193" spans="1:12" x14ac:dyDescent="0.2">
      <c r="A193" t="s">
        <v>7</v>
      </c>
      <c r="B193" t="s">
        <v>115</v>
      </c>
      <c r="C193" t="s">
        <v>197</v>
      </c>
      <c r="D193">
        <v>1582989.1</v>
      </c>
      <c r="E193">
        <v>1514036</v>
      </c>
      <c r="I193">
        <v>814477.07</v>
      </c>
      <c r="J193">
        <v>1176768.3400000001</v>
      </c>
    </row>
    <row r="194" spans="1:12" x14ac:dyDescent="0.2">
      <c r="A194" t="s">
        <v>7</v>
      </c>
      <c r="B194" t="s">
        <v>115</v>
      </c>
      <c r="C194" t="s">
        <v>198</v>
      </c>
      <c r="D194">
        <v>1552587.15</v>
      </c>
      <c r="I194">
        <v>803073.73</v>
      </c>
    </row>
    <row r="195" spans="1:12" x14ac:dyDescent="0.2">
      <c r="A195" t="s">
        <v>7</v>
      </c>
      <c r="B195" t="s">
        <v>113</v>
      </c>
      <c r="C195" t="s">
        <v>195</v>
      </c>
      <c r="D195">
        <v>205306.4</v>
      </c>
      <c r="E195">
        <v>205306.4</v>
      </c>
      <c r="F195">
        <v>205306.4</v>
      </c>
      <c r="G195">
        <v>205306.4</v>
      </c>
      <c r="I195">
        <v>202151.4</v>
      </c>
      <c r="J195">
        <v>204268.4</v>
      </c>
      <c r="K195">
        <v>204613.4</v>
      </c>
      <c r="L195">
        <v>204613.4</v>
      </c>
    </row>
    <row r="196" spans="1:12" x14ac:dyDescent="0.2">
      <c r="A196" t="s">
        <v>7</v>
      </c>
      <c r="B196" t="s">
        <v>113</v>
      </c>
      <c r="C196" t="s">
        <v>196</v>
      </c>
      <c r="D196">
        <v>237180.05</v>
      </c>
      <c r="E196">
        <v>237180.05</v>
      </c>
      <c r="F196">
        <v>237180.05</v>
      </c>
      <c r="I196">
        <v>227155.33</v>
      </c>
      <c r="J196">
        <v>236331.8</v>
      </c>
      <c r="K196">
        <v>236597.33</v>
      </c>
    </row>
    <row r="197" spans="1:12" x14ac:dyDescent="0.2">
      <c r="A197" t="s">
        <v>7</v>
      </c>
      <c r="B197" t="s">
        <v>113</v>
      </c>
      <c r="C197" t="s">
        <v>197</v>
      </c>
      <c r="D197">
        <v>270774.3</v>
      </c>
      <c r="E197">
        <v>270774.3</v>
      </c>
      <c r="I197">
        <v>248318.02</v>
      </c>
      <c r="J197">
        <v>268041.34999999998</v>
      </c>
    </row>
    <row r="198" spans="1:12" x14ac:dyDescent="0.2">
      <c r="A198" t="s">
        <v>7</v>
      </c>
      <c r="B198" t="s">
        <v>113</v>
      </c>
      <c r="C198" t="s">
        <v>198</v>
      </c>
      <c r="D198">
        <v>227048.55</v>
      </c>
      <c r="I198">
        <v>214111.21</v>
      </c>
    </row>
    <row r="199" spans="1:12" x14ac:dyDescent="0.2">
      <c r="A199" t="s">
        <v>7</v>
      </c>
      <c r="B199" t="s">
        <v>72</v>
      </c>
      <c r="C199" t="s">
        <v>195</v>
      </c>
      <c r="D199">
        <v>308324.5</v>
      </c>
      <c r="E199">
        <v>380324.5</v>
      </c>
      <c r="F199">
        <v>308324.5</v>
      </c>
      <c r="G199">
        <v>308324.5</v>
      </c>
      <c r="I199">
        <v>269422.89</v>
      </c>
      <c r="J199">
        <v>280398.95</v>
      </c>
      <c r="K199">
        <v>284536.53999999998</v>
      </c>
      <c r="L199">
        <v>285920.38</v>
      </c>
    </row>
    <row r="200" spans="1:12" x14ac:dyDescent="0.2">
      <c r="A200" t="s">
        <v>7</v>
      </c>
      <c r="B200" t="s">
        <v>72</v>
      </c>
      <c r="C200" t="s">
        <v>196</v>
      </c>
      <c r="D200">
        <v>334879.8</v>
      </c>
      <c r="E200">
        <v>334879.8</v>
      </c>
      <c r="F200">
        <v>334879.8</v>
      </c>
      <c r="I200">
        <v>294392.21000000002</v>
      </c>
      <c r="J200">
        <v>306232.78999999998</v>
      </c>
      <c r="K200">
        <v>308458.34000000003</v>
      </c>
    </row>
    <row r="201" spans="1:12" x14ac:dyDescent="0.2">
      <c r="A201" t="s">
        <v>7</v>
      </c>
      <c r="B201" t="s">
        <v>72</v>
      </c>
      <c r="C201" t="s">
        <v>197</v>
      </c>
      <c r="D201">
        <v>358445.8</v>
      </c>
      <c r="E201">
        <v>358420.8</v>
      </c>
      <c r="I201">
        <v>307537.64</v>
      </c>
      <c r="J201">
        <v>319380.81</v>
      </c>
    </row>
    <row r="202" spans="1:12" x14ac:dyDescent="0.2">
      <c r="A202" t="s">
        <v>7</v>
      </c>
      <c r="B202" t="s">
        <v>72</v>
      </c>
      <c r="C202" t="s">
        <v>198</v>
      </c>
      <c r="D202">
        <v>307560.09999999998</v>
      </c>
      <c r="I202">
        <v>260649.09</v>
      </c>
    </row>
    <row r="203" spans="1:12" x14ac:dyDescent="0.2">
      <c r="A203" t="s">
        <v>8</v>
      </c>
      <c r="B203" t="s">
        <v>109</v>
      </c>
      <c r="C203" t="s">
        <v>195</v>
      </c>
      <c r="D203">
        <v>3249739.9</v>
      </c>
      <c r="E203">
        <v>3225544.3</v>
      </c>
      <c r="F203">
        <v>3237246.92</v>
      </c>
      <c r="G203">
        <v>3150575.66</v>
      </c>
      <c r="I203">
        <v>73997.119999999995</v>
      </c>
      <c r="J203">
        <v>144585.64000000001</v>
      </c>
      <c r="K203">
        <v>203694.5</v>
      </c>
      <c r="L203">
        <v>236505.57</v>
      </c>
    </row>
    <row r="204" spans="1:12" x14ac:dyDescent="0.2">
      <c r="A204" t="s">
        <v>8</v>
      </c>
      <c r="B204" t="s">
        <v>109</v>
      </c>
      <c r="C204" t="s">
        <v>196</v>
      </c>
      <c r="D204">
        <v>3490430.82</v>
      </c>
      <c r="E204">
        <v>3716019.47</v>
      </c>
      <c r="F204">
        <v>3758280.47</v>
      </c>
      <c r="I204">
        <v>93064.5</v>
      </c>
      <c r="J204">
        <v>164816.07999999999</v>
      </c>
      <c r="K204">
        <v>218911.43</v>
      </c>
    </row>
    <row r="205" spans="1:12" x14ac:dyDescent="0.2">
      <c r="A205" t="s">
        <v>8</v>
      </c>
      <c r="B205" t="s">
        <v>109</v>
      </c>
      <c r="C205" t="s">
        <v>197</v>
      </c>
      <c r="D205">
        <v>3267741.77</v>
      </c>
      <c r="E205">
        <v>3264991.57</v>
      </c>
      <c r="I205">
        <v>80686.34</v>
      </c>
      <c r="J205">
        <v>136680.66</v>
      </c>
    </row>
    <row r="206" spans="1:12" x14ac:dyDescent="0.2">
      <c r="A206" t="s">
        <v>8</v>
      </c>
      <c r="B206" t="s">
        <v>109</v>
      </c>
      <c r="C206" t="s">
        <v>198</v>
      </c>
      <c r="D206">
        <v>2212967.9500000002</v>
      </c>
      <c r="I206">
        <v>57576.72</v>
      </c>
    </row>
    <row r="207" spans="1:12" x14ac:dyDescent="0.2">
      <c r="A207" t="s">
        <v>8</v>
      </c>
      <c r="B207" t="s">
        <v>145</v>
      </c>
      <c r="C207" t="s">
        <v>195</v>
      </c>
      <c r="D207">
        <v>802891.5</v>
      </c>
      <c r="E207">
        <v>802165.7</v>
      </c>
      <c r="F207">
        <v>802849.5</v>
      </c>
      <c r="G207">
        <v>692507.5</v>
      </c>
      <c r="I207">
        <v>932.04</v>
      </c>
      <c r="J207">
        <v>2336.92</v>
      </c>
      <c r="K207">
        <v>3237.42</v>
      </c>
      <c r="L207">
        <v>3525.66</v>
      </c>
    </row>
    <row r="208" spans="1:12" x14ac:dyDescent="0.2">
      <c r="A208" t="s">
        <v>8</v>
      </c>
      <c r="B208" t="s">
        <v>145</v>
      </c>
      <c r="C208" t="s">
        <v>196</v>
      </c>
      <c r="D208">
        <v>814893.66</v>
      </c>
      <c r="E208">
        <v>1065460.6599999999</v>
      </c>
      <c r="F208">
        <v>1065510.6599999999</v>
      </c>
      <c r="I208">
        <v>6434.92</v>
      </c>
      <c r="J208">
        <v>7449</v>
      </c>
      <c r="K208">
        <v>8093.22</v>
      </c>
    </row>
    <row r="209" spans="1:12" x14ac:dyDescent="0.2">
      <c r="A209" t="s">
        <v>8</v>
      </c>
      <c r="B209" t="s">
        <v>145</v>
      </c>
      <c r="C209" t="s">
        <v>197</v>
      </c>
      <c r="D209">
        <v>864262.2</v>
      </c>
      <c r="E209">
        <v>837633</v>
      </c>
      <c r="I209">
        <v>625</v>
      </c>
      <c r="J209">
        <v>764.89</v>
      </c>
    </row>
    <row r="210" spans="1:12" x14ac:dyDescent="0.2">
      <c r="A210" t="s">
        <v>8</v>
      </c>
      <c r="B210" t="s">
        <v>145</v>
      </c>
      <c r="C210" t="s">
        <v>198</v>
      </c>
      <c r="D210">
        <v>271882.76</v>
      </c>
      <c r="I210">
        <v>753.5</v>
      </c>
    </row>
    <row r="211" spans="1:12" x14ac:dyDescent="0.2">
      <c r="A211" t="s">
        <v>8</v>
      </c>
      <c r="B211" t="s">
        <v>110</v>
      </c>
      <c r="C211" t="s">
        <v>195</v>
      </c>
      <c r="D211">
        <v>1566978.41</v>
      </c>
      <c r="E211">
        <v>1509993.01</v>
      </c>
      <c r="F211">
        <v>1482158.63</v>
      </c>
      <c r="G211">
        <v>1480896.57</v>
      </c>
      <c r="I211">
        <v>254542.91</v>
      </c>
      <c r="J211">
        <v>409731.97</v>
      </c>
      <c r="K211">
        <v>514397.97</v>
      </c>
      <c r="L211">
        <v>575072.61</v>
      </c>
    </row>
    <row r="212" spans="1:12" x14ac:dyDescent="0.2">
      <c r="A212" t="s">
        <v>8</v>
      </c>
      <c r="B212" t="s">
        <v>110</v>
      </c>
      <c r="C212" t="s">
        <v>196</v>
      </c>
      <c r="D212">
        <v>1719148.13</v>
      </c>
      <c r="E212">
        <v>1665938.69</v>
      </c>
      <c r="F212">
        <v>1688906.83</v>
      </c>
      <c r="I212">
        <v>329800.33</v>
      </c>
      <c r="J212">
        <v>484187.41</v>
      </c>
      <c r="K212">
        <v>611290.6</v>
      </c>
    </row>
    <row r="213" spans="1:12" x14ac:dyDescent="0.2">
      <c r="A213" t="s">
        <v>8</v>
      </c>
      <c r="B213" t="s">
        <v>110</v>
      </c>
      <c r="C213" t="s">
        <v>197</v>
      </c>
      <c r="D213">
        <v>1677372.26</v>
      </c>
      <c r="E213">
        <v>1739930.94</v>
      </c>
      <c r="I213">
        <v>283611.49</v>
      </c>
      <c r="J213">
        <v>433493.91</v>
      </c>
    </row>
    <row r="214" spans="1:12" x14ac:dyDescent="0.2">
      <c r="A214" t="s">
        <v>8</v>
      </c>
      <c r="B214" t="s">
        <v>110</v>
      </c>
      <c r="C214" t="s">
        <v>198</v>
      </c>
      <c r="D214">
        <v>1519474.83</v>
      </c>
      <c r="I214">
        <v>224320.82</v>
      </c>
    </row>
    <row r="215" spans="1:12" x14ac:dyDescent="0.2">
      <c r="A215" t="s">
        <v>8</v>
      </c>
      <c r="B215" t="s">
        <v>116</v>
      </c>
      <c r="C215" t="s">
        <v>195</v>
      </c>
      <c r="D215">
        <v>179925</v>
      </c>
      <c r="E215">
        <v>178647</v>
      </c>
      <c r="F215">
        <v>177997</v>
      </c>
      <c r="G215">
        <v>177672</v>
      </c>
      <c r="I215">
        <v>3266</v>
      </c>
      <c r="J215">
        <v>6521</v>
      </c>
      <c r="K215">
        <v>6629</v>
      </c>
      <c r="L215">
        <v>6629</v>
      </c>
    </row>
    <row r="216" spans="1:12" x14ac:dyDescent="0.2">
      <c r="A216" t="s">
        <v>8</v>
      </c>
      <c r="B216" t="s">
        <v>116</v>
      </c>
      <c r="C216" t="s">
        <v>196</v>
      </c>
      <c r="D216">
        <v>224454</v>
      </c>
      <c r="E216">
        <v>224152</v>
      </c>
      <c r="F216">
        <v>224052</v>
      </c>
      <c r="I216">
        <v>3621</v>
      </c>
      <c r="J216">
        <v>4262</v>
      </c>
      <c r="K216">
        <v>4598</v>
      </c>
    </row>
    <row r="217" spans="1:12" x14ac:dyDescent="0.2">
      <c r="A217" t="s">
        <v>8</v>
      </c>
      <c r="B217" t="s">
        <v>116</v>
      </c>
      <c r="C217" t="s">
        <v>197</v>
      </c>
      <c r="D217">
        <v>173227</v>
      </c>
      <c r="E217">
        <v>173125</v>
      </c>
      <c r="I217">
        <v>4009</v>
      </c>
      <c r="J217">
        <v>7302</v>
      </c>
    </row>
    <row r="218" spans="1:12" x14ac:dyDescent="0.2">
      <c r="A218" t="s">
        <v>8</v>
      </c>
      <c r="B218" t="s">
        <v>116</v>
      </c>
      <c r="C218" t="s">
        <v>198</v>
      </c>
      <c r="D218">
        <v>152966</v>
      </c>
      <c r="I218">
        <v>3125</v>
      </c>
    </row>
    <row r="219" spans="1:12" x14ac:dyDescent="0.2">
      <c r="A219" t="s">
        <v>8</v>
      </c>
      <c r="B219" t="s">
        <v>114</v>
      </c>
      <c r="C219" t="s">
        <v>195</v>
      </c>
      <c r="D219">
        <v>1223418</v>
      </c>
      <c r="E219">
        <v>1035139.55</v>
      </c>
      <c r="F219">
        <v>962770.8</v>
      </c>
      <c r="G219">
        <v>954353.3</v>
      </c>
      <c r="I219">
        <v>162126.54999999999</v>
      </c>
      <c r="J219">
        <v>361992.8</v>
      </c>
      <c r="K219">
        <v>458390.05</v>
      </c>
      <c r="L219">
        <v>492745.82</v>
      </c>
    </row>
    <row r="220" spans="1:12" x14ac:dyDescent="0.2">
      <c r="A220" t="s">
        <v>8</v>
      </c>
      <c r="B220" t="s">
        <v>114</v>
      </c>
      <c r="C220" t="s">
        <v>196</v>
      </c>
      <c r="D220">
        <v>1384457.95</v>
      </c>
      <c r="E220">
        <v>1141836.8999999999</v>
      </c>
      <c r="F220">
        <v>1121062.95</v>
      </c>
      <c r="I220">
        <v>210700.45</v>
      </c>
      <c r="J220">
        <v>386490.95</v>
      </c>
      <c r="K220">
        <v>490500.7</v>
      </c>
    </row>
    <row r="221" spans="1:12" x14ac:dyDescent="0.2">
      <c r="A221" t="s">
        <v>8</v>
      </c>
      <c r="B221" t="s">
        <v>114</v>
      </c>
      <c r="C221" t="s">
        <v>197</v>
      </c>
      <c r="D221">
        <v>1352350.1</v>
      </c>
      <c r="E221">
        <v>1241841.7</v>
      </c>
      <c r="I221">
        <v>173617.9</v>
      </c>
      <c r="J221">
        <v>344413.2</v>
      </c>
    </row>
    <row r="222" spans="1:12" x14ac:dyDescent="0.2">
      <c r="A222" t="s">
        <v>8</v>
      </c>
      <c r="B222" t="s">
        <v>114</v>
      </c>
      <c r="C222" t="s">
        <v>198</v>
      </c>
      <c r="D222">
        <v>1265127.75</v>
      </c>
      <c r="I222">
        <v>125841.15</v>
      </c>
    </row>
    <row r="223" spans="1:12" x14ac:dyDescent="0.2">
      <c r="A223" t="s">
        <v>8</v>
      </c>
      <c r="B223" t="s">
        <v>111</v>
      </c>
      <c r="C223" t="s">
        <v>195</v>
      </c>
      <c r="D223">
        <v>4393632.8</v>
      </c>
      <c r="E223">
        <v>4374287.8</v>
      </c>
      <c r="F223">
        <v>4367886.8</v>
      </c>
      <c r="G223">
        <v>4366386.8</v>
      </c>
      <c r="I223">
        <v>4379514.2</v>
      </c>
      <c r="J223">
        <v>4360651.91</v>
      </c>
      <c r="K223">
        <v>4354691.42</v>
      </c>
      <c r="L223">
        <v>4353346.43</v>
      </c>
    </row>
    <row r="224" spans="1:12" x14ac:dyDescent="0.2">
      <c r="A224" t="s">
        <v>8</v>
      </c>
      <c r="B224" t="s">
        <v>111</v>
      </c>
      <c r="C224" t="s">
        <v>196</v>
      </c>
      <c r="D224">
        <v>4601616.32</v>
      </c>
      <c r="E224">
        <v>4459525.16</v>
      </c>
      <c r="F224">
        <v>4452025.16</v>
      </c>
      <c r="I224">
        <v>4591781.66</v>
      </c>
      <c r="J224">
        <v>4450103.84</v>
      </c>
      <c r="K224">
        <v>4442613.04</v>
      </c>
    </row>
    <row r="225" spans="1:12" x14ac:dyDescent="0.2">
      <c r="A225" t="s">
        <v>8</v>
      </c>
      <c r="B225" t="s">
        <v>111</v>
      </c>
      <c r="C225" t="s">
        <v>197</v>
      </c>
      <c r="D225">
        <v>4902335.28</v>
      </c>
      <c r="E225">
        <v>4887232.78</v>
      </c>
      <c r="I225">
        <v>4889840.28</v>
      </c>
      <c r="J225">
        <v>4872931.78</v>
      </c>
    </row>
    <row r="226" spans="1:12" x14ac:dyDescent="0.2">
      <c r="A226" t="s">
        <v>8</v>
      </c>
      <c r="B226" t="s">
        <v>111</v>
      </c>
      <c r="C226" t="s">
        <v>198</v>
      </c>
      <c r="D226">
        <v>4388022.38</v>
      </c>
      <c r="I226">
        <v>4374590.38</v>
      </c>
    </row>
    <row r="227" spans="1:12" x14ac:dyDescent="0.2">
      <c r="A227" t="s">
        <v>8</v>
      </c>
      <c r="B227" t="s">
        <v>112</v>
      </c>
      <c r="C227" t="s">
        <v>195</v>
      </c>
      <c r="D227">
        <v>3614090.15</v>
      </c>
      <c r="E227">
        <v>3613135.15</v>
      </c>
      <c r="F227">
        <v>3612825.15</v>
      </c>
      <c r="G227">
        <v>3612825.15</v>
      </c>
      <c r="I227">
        <v>3613128.15</v>
      </c>
      <c r="J227">
        <v>3609744.65</v>
      </c>
      <c r="K227">
        <v>3609494.65</v>
      </c>
      <c r="L227">
        <v>3609504.65</v>
      </c>
    </row>
    <row r="228" spans="1:12" x14ac:dyDescent="0.2">
      <c r="A228" t="s">
        <v>8</v>
      </c>
      <c r="B228" t="s">
        <v>112</v>
      </c>
      <c r="C228" t="s">
        <v>196</v>
      </c>
      <c r="D228">
        <v>3594625.9</v>
      </c>
      <c r="E228">
        <v>3593943.4</v>
      </c>
      <c r="F228">
        <v>3593943.4</v>
      </c>
      <c r="I228">
        <v>3593198.9</v>
      </c>
      <c r="J228">
        <v>3592619.4</v>
      </c>
      <c r="K228">
        <v>3592554.4</v>
      </c>
    </row>
    <row r="229" spans="1:12" x14ac:dyDescent="0.2">
      <c r="A229" t="s">
        <v>8</v>
      </c>
      <c r="B229" t="s">
        <v>112</v>
      </c>
      <c r="C229" t="s">
        <v>197</v>
      </c>
      <c r="D229">
        <v>3893710.49</v>
      </c>
      <c r="E229">
        <v>3892211.49</v>
      </c>
      <c r="I229">
        <v>3893002.49</v>
      </c>
      <c r="J229">
        <v>3891566.49</v>
      </c>
    </row>
    <row r="230" spans="1:12" x14ac:dyDescent="0.2">
      <c r="A230" t="s">
        <v>8</v>
      </c>
      <c r="B230" t="s">
        <v>112</v>
      </c>
      <c r="C230" t="s">
        <v>198</v>
      </c>
      <c r="D230">
        <v>3221382.24</v>
      </c>
      <c r="I230">
        <v>3220454.24</v>
      </c>
    </row>
    <row r="231" spans="1:12" x14ac:dyDescent="0.2">
      <c r="A231" t="s">
        <v>8</v>
      </c>
      <c r="B231" t="s">
        <v>115</v>
      </c>
      <c r="C231" t="s">
        <v>195</v>
      </c>
      <c r="D231">
        <v>8768326.6999999993</v>
      </c>
      <c r="E231">
        <v>6789605.1500000004</v>
      </c>
      <c r="F231">
        <v>6523981.4000000004</v>
      </c>
      <c r="G231">
        <v>6619065.9500000002</v>
      </c>
      <c r="I231">
        <v>2194619.4</v>
      </c>
      <c r="J231">
        <v>4181102.6</v>
      </c>
      <c r="K231">
        <v>5310001.95</v>
      </c>
      <c r="L231">
        <v>5602853.7699999996</v>
      </c>
    </row>
    <row r="232" spans="1:12" x14ac:dyDescent="0.2">
      <c r="A232" t="s">
        <v>8</v>
      </c>
      <c r="B232" t="s">
        <v>115</v>
      </c>
      <c r="C232" t="s">
        <v>196</v>
      </c>
      <c r="D232">
        <v>9510639.0500000007</v>
      </c>
      <c r="E232">
        <v>7663496.0499999998</v>
      </c>
      <c r="F232">
        <v>7766392.2000000002</v>
      </c>
      <c r="I232">
        <v>2624230.7999999998</v>
      </c>
      <c r="J232">
        <v>4828326.55</v>
      </c>
      <c r="K232">
        <v>6100945.6100000003</v>
      </c>
    </row>
    <row r="233" spans="1:12" x14ac:dyDescent="0.2">
      <c r="A233" t="s">
        <v>8</v>
      </c>
      <c r="B233" t="s">
        <v>115</v>
      </c>
      <c r="C233" t="s">
        <v>197</v>
      </c>
      <c r="D233">
        <v>9152746.25</v>
      </c>
      <c r="E233">
        <v>8666879.9000000004</v>
      </c>
      <c r="I233">
        <v>2451160.9500000002</v>
      </c>
      <c r="J233">
        <v>4442241.18</v>
      </c>
    </row>
    <row r="234" spans="1:12" x14ac:dyDescent="0.2">
      <c r="A234" t="s">
        <v>8</v>
      </c>
      <c r="B234" t="s">
        <v>115</v>
      </c>
      <c r="C234" t="s">
        <v>198</v>
      </c>
      <c r="D234">
        <v>9715336.1999999993</v>
      </c>
      <c r="I234">
        <v>2250331.5</v>
      </c>
    </row>
    <row r="235" spans="1:12" x14ac:dyDescent="0.2">
      <c r="A235" t="s">
        <v>8</v>
      </c>
      <c r="B235" t="s">
        <v>113</v>
      </c>
      <c r="C235" t="s">
        <v>195</v>
      </c>
      <c r="D235">
        <v>474504.83</v>
      </c>
      <c r="E235">
        <v>472531.83</v>
      </c>
      <c r="F235">
        <v>470866.83</v>
      </c>
      <c r="G235">
        <v>470134.83</v>
      </c>
      <c r="I235">
        <v>473374.83</v>
      </c>
      <c r="J235">
        <v>471665.83</v>
      </c>
      <c r="K235">
        <v>470086.83</v>
      </c>
      <c r="L235">
        <v>469459.83</v>
      </c>
    </row>
    <row r="236" spans="1:12" x14ac:dyDescent="0.2">
      <c r="A236" t="s">
        <v>8</v>
      </c>
      <c r="B236" t="s">
        <v>113</v>
      </c>
      <c r="C236" t="s">
        <v>196</v>
      </c>
      <c r="D236">
        <v>545312.82999999996</v>
      </c>
      <c r="E236">
        <v>542369.82999999996</v>
      </c>
      <c r="F236">
        <v>542369.82999999996</v>
      </c>
      <c r="I236">
        <v>544209.82999999996</v>
      </c>
      <c r="J236">
        <v>541267.82999999996</v>
      </c>
      <c r="K236">
        <v>541268.82999999996</v>
      </c>
    </row>
    <row r="237" spans="1:12" x14ac:dyDescent="0.2">
      <c r="A237" t="s">
        <v>8</v>
      </c>
      <c r="B237" t="s">
        <v>113</v>
      </c>
      <c r="C237" t="s">
        <v>197</v>
      </c>
      <c r="D237">
        <v>626756.21</v>
      </c>
      <c r="E237">
        <v>625492.21</v>
      </c>
      <c r="I237">
        <v>624619.21</v>
      </c>
      <c r="J237">
        <v>623462.21</v>
      </c>
    </row>
    <row r="238" spans="1:12" x14ac:dyDescent="0.2">
      <c r="A238" t="s">
        <v>8</v>
      </c>
      <c r="B238" t="s">
        <v>113</v>
      </c>
      <c r="C238" t="s">
        <v>198</v>
      </c>
      <c r="D238">
        <v>531234.72</v>
      </c>
      <c r="I238">
        <v>523733.22</v>
      </c>
    </row>
    <row r="239" spans="1:12" x14ac:dyDescent="0.2">
      <c r="A239" t="s">
        <v>8</v>
      </c>
      <c r="B239" t="s">
        <v>72</v>
      </c>
      <c r="C239" t="s">
        <v>195</v>
      </c>
      <c r="D239">
        <v>972388.75</v>
      </c>
      <c r="E239">
        <v>971570.75</v>
      </c>
      <c r="F239">
        <v>971450.75</v>
      </c>
      <c r="G239">
        <v>971450.75</v>
      </c>
      <c r="I239">
        <v>964799.11</v>
      </c>
      <c r="J239">
        <v>965251.47</v>
      </c>
      <c r="K239">
        <v>965636.38</v>
      </c>
      <c r="L239">
        <v>966078.38</v>
      </c>
    </row>
    <row r="240" spans="1:12" x14ac:dyDescent="0.2">
      <c r="A240" t="s">
        <v>8</v>
      </c>
      <c r="B240" t="s">
        <v>72</v>
      </c>
      <c r="C240" t="s">
        <v>196</v>
      </c>
      <c r="D240">
        <v>1115976.6000000001</v>
      </c>
      <c r="E240">
        <v>1115976.6000000001</v>
      </c>
      <c r="F240">
        <v>1116032.6000000001</v>
      </c>
      <c r="I240">
        <v>1102616.57</v>
      </c>
      <c r="J240">
        <v>1106593.55</v>
      </c>
      <c r="K240">
        <v>1108061.1000000001</v>
      </c>
    </row>
    <row r="241" spans="1:12" x14ac:dyDescent="0.2">
      <c r="A241" t="s">
        <v>8</v>
      </c>
      <c r="B241" t="s">
        <v>72</v>
      </c>
      <c r="C241" t="s">
        <v>197</v>
      </c>
      <c r="D241">
        <v>1359196.61</v>
      </c>
      <c r="E241">
        <v>1358574.61</v>
      </c>
      <c r="I241">
        <v>1350541.41</v>
      </c>
      <c r="J241">
        <v>1351811.61</v>
      </c>
    </row>
    <row r="242" spans="1:12" x14ac:dyDescent="0.2">
      <c r="A242" t="s">
        <v>8</v>
      </c>
      <c r="B242" t="s">
        <v>72</v>
      </c>
      <c r="C242" t="s">
        <v>198</v>
      </c>
      <c r="D242">
        <v>918650.6</v>
      </c>
      <c r="I242">
        <v>902142.51</v>
      </c>
    </row>
    <row r="243" spans="1:12" x14ac:dyDescent="0.2">
      <c r="A243" t="s">
        <v>9</v>
      </c>
      <c r="B243" t="s">
        <v>109</v>
      </c>
      <c r="C243" t="s">
        <v>195</v>
      </c>
      <c r="D243">
        <v>88737</v>
      </c>
      <c r="E243">
        <v>88675</v>
      </c>
      <c r="F243">
        <v>88675</v>
      </c>
      <c r="G243">
        <v>88675</v>
      </c>
      <c r="I243">
        <v>2304</v>
      </c>
      <c r="J243">
        <v>3623</v>
      </c>
      <c r="K243">
        <v>5108</v>
      </c>
      <c r="L243">
        <v>6240</v>
      </c>
    </row>
    <row r="244" spans="1:12" x14ac:dyDescent="0.2">
      <c r="A244" t="s">
        <v>9</v>
      </c>
      <c r="B244" t="s">
        <v>109</v>
      </c>
      <c r="C244" t="s">
        <v>196</v>
      </c>
      <c r="D244">
        <v>57128</v>
      </c>
      <c r="E244">
        <v>57128</v>
      </c>
      <c r="F244">
        <v>57128</v>
      </c>
      <c r="I244">
        <v>705</v>
      </c>
      <c r="J244">
        <v>844</v>
      </c>
      <c r="K244">
        <v>2616</v>
      </c>
    </row>
    <row r="245" spans="1:12" x14ac:dyDescent="0.2">
      <c r="A245" t="s">
        <v>9</v>
      </c>
      <c r="B245" t="s">
        <v>109</v>
      </c>
      <c r="C245" t="s">
        <v>197</v>
      </c>
      <c r="D245">
        <v>58205</v>
      </c>
      <c r="E245">
        <v>58205</v>
      </c>
      <c r="I245">
        <v>396</v>
      </c>
      <c r="J245">
        <v>1261</v>
      </c>
    </row>
    <row r="246" spans="1:12" x14ac:dyDescent="0.2">
      <c r="A246" t="s">
        <v>9</v>
      </c>
      <c r="B246" t="s">
        <v>109</v>
      </c>
      <c r="C246" t="s">
        <v>198</v>
      </c>
      <c r="D246">
        <v>66631</v>
      </c>
      <c r="I246">
        <v>1892</v>
      </c>
    </row>
    <row r="247" spans="1:12" x14ac:dyDescent="0.2">
      <c r="A247" t="s">
        <v>9</v>
      </c>
      <c r="B247" t="s">
        <v>145</v>
      </c>
      <c r="C247" t="s">
        <v>195</v>
      </c>
      <c r="E247">
        <v>0</v>
      </c>
      <c r="F247">
        <v>0</v>
      </c>
      <c r="G247">
        <v>0</v>
      </c>
      <c r="I247">
        <v>0</v>
      </c>
      <c r="J247">
        <v>0</v>
      </c>
      <c r="K247">
        <v>0</v>
      </c>
      <c r="L247">
        <v>0</v>
      </c>
    </row>
    <row r="248" spans="1:12" x14ac:dyDescent="0.2">
      <c r="A248" t="s">
        <v>9</v>
      </c>
      <c r="B248" t="s">
        <v>145</v>
      </c>
      <c r="C248" t="s">
        <v>196</v>
      </c>
      <c r="E248">
        <v>0</v>
      </c>
      <c r="F248">
        <v>0</v>
      </c>
      <c r="I248">
        <v>0</v>
      </c>
      <c r="J248">
        <v>0</v>
      </c>
      <c r="K248">
        <v>0</v>
      </c>
    </row>
    <row r="249" spans="1:12" x14ac:dyDescent="0.2">
      <c r="A249" t="s">
        <v>9</v>
      </c>
      <c r="B249" t="s">
        <v>145</v>
      </c>
      <c r="C249" t="s">
        <v>197</v>
      </c>
      <c r="D249">
        <v>0</v>
      </c>
      <c r="E249">
        <v>0</v>
      </c>
      <c r="I249">
        <v>0</v>
      </c>
      <c r="J249">
        <v>0</v>
      </c>
    </row>
    <row r="250" spans="1:12" x14ac:dyDescent="0.2">
      <c r="A250" t="s">
        <v>9</v>
      </c>
      <c r="B250" t="s">
        <v>145</v>
      </c>
      <c r="C250" t="s">
        <v>198</v>
      </c>
      <c r="D250">
        <v>0</v>
      </c>
      <c r="I250">
        <v>0</v>
      </c>
    </row>
    <row r="251" spans="1:12" x14ac:dyDescent="0.2">
      <c r="A251" t="s">
        <v>9</v>
      </c>
      <c r="B251" t="s">
        <v>110</v>
      </c>
      <c r="C251" t="s">
        <v>195</v>
      </c>
      <c r="D251">
        <v>16512</v>
      </c>
      <c r="E251">
        <v>16512</v>
      </c>
      <c r="F251">
        <v>15437</v>
      </c>
      <c r="G251">
        <v>15437</v>
      </c>
      <c r="I251">
        <v>1190</v>
      </c>
      <c r="J251">
        <v>1958</v>
      </c>
      <c r="K251">
        <v>2326</v>
      </c>
      <c r="L251">
        <v>2326</v>
      </c>
    </row>
    <row r="252" spans="1:12" x14ac:dyDescent="0.2">
      <c r="A252" t="s">
        <v>9</v>
      </c>
      <c r="B252" t="s">
        <v>110</v>
      </c>
      <c r="C252" t="s">
        <v>196</v>
      </c>
      <c r="D252">
        <v>11812</v>
      </c>
      <c r="E252">
        <v>11812</v>
      </c>
      <c r="F252">
        <v>11812</v>
      </c>
      <c r="I252">
        <v>988</v>
      </c>
      <c r="J252">
        <v>2916</v>
      </c>
      <c r="K252">
        <v>4091</v>
      </c>
    </row>
    <row r="253" spans="1:12" x14ac:dyDescent="0.2">
      <c r="A253" t="s">
        <v>9</v>
      </c>
      <c r="B253" t="s">
        <v>110</v>
      </c>
      <c r="C253" t="s">
        <v>197</v>
      </c>
      <c r="D253">
        <v>12912</v>
      </c>
      <c r="E253">
        <v>12912</v>
      </c>
      <c r="I253">
        <v>797</v>
      </c>
      <c r="J253">
        <v>2301</v>
      </c>
    </row>
    <row r="254" spans="1:12" x14ac:dyDescent="0.2">
      <c r="A254" t="s">
        <v>9</v>
      </c>
      <c r="B254" t="s">
        <v>110</v>
      </c>
      <c r="C254" t="s">
        <v>198</v>
      </c>
      <c r="D254">
        <v>12183</v>
      </c>
      <c r="I254">
        <v>245</v>
      </c>
    </row>
    <row r="255" spans="1:12" x14ac:dyDescent="0.2">
      <c r="A255" t="s">
        <v>9</v>
      </c>
      <c r="B255" t="s">
        <v>116</v>
      </c>
      <c r="C255" t="s">
        <v>195</v>
      </c>
      <c r="D255">
        <v>206</v>
      </c>
      <c r="E255">
        <v>206</v>
      </c>
      <c r="F255">
        <v>103</v>
      </c>
      <c r="G255">
        <v>103</v>
      </c>
      <c r="I255">
        <v>0</v>
      </c>
      <c r="J255">
        <v>0</v>
      </c>
      <c r="K255">
        <v>0</v>
      </c>
      <c r="L255">
        <v>0</v>
      </c>
    </row>
    <row r="256" spans="1:12" x14ac:dyDescent="0.2">
      <c r="A256" t="s">
        <v>9</v>
      </c>
      <c r="B256" t="s">
        <v>116</v>
      </c>
      <c r="C256" t="s">
        <v>196</v>
      </c>
      <c r="D256">
        <v>0</v>
      </c>
      <c r="E256">
        <v>0</v>
      </c>
      <c r="F256">
        <v>0</v>
      </c>
      <c r="I256">
        <v>0</v>
      </c>
      <c r="J256">
        <v>0</v>
      </c>
      <c r="K256">
        <v>0</v>
      </c>
    </row>
    <row r="257" spans="1:12" x14ac:dyDescent="0.2">
      <c r="A257" t="s">
        <v>9</v>
      </c>
      <c r="B257" t="s">
        <v>116</v>
      </c>
      <c r="C257" t="s">
        <v>197</v>
      </c>
      <c r="D257">
        <v>0</v>
      </c>
      <c r="E257">
        <v>0</v>
      </c>
      <c r="I257">
        <v>0</v>
      </c>
      <c r="J257">
        <v>0</v>
      </c>
    </row>
    <row r="258" spans="1:12" x14ac:dyDescent="0.2">
      <c r="A258" t="s">
        <v>9</v>
      </c>
      <c r="B258" t="s">
        <v>116</v>
      </c>
      <c r="C258" t="s">
        <v>198</v>
      </c>
      <c r="D258">
        <v>0</v>
      </c>
      <c r="I258">
        <v>0</v>
      </c>
    </row>
    <row r="259" spans="1:12" x14ac:dyDescent="0.2">
      <c r="A259" t="s">
        <v>9</v>
      </c>
      <c r="B259" t="s">
        <v>114</v>
      </c>
      <c r="C259" t="s">
        <v>195</v>
      </c>
      <c r="D259">
        <v>7963</v>
      </c>
      <c r="E259">
        <v>7963</v>
      </c>
      <c r="F259">
        <v>7508</v>
      </c>
      <c r="G259">
        <v>6978</v>
      </c>
      <c r="I259">
        <v>1018</v>
      </c>
      <c r="J259">
        <v>1163</v>
      </c>
      <c r="K259">
        <v>1893</v>
      </c>
      <c r="L259">
        <v>2351</v>
      </c>
    </row>
    <row r="260" spans="1:12" x14ac:dyDescent="0.2">
      <c r="A260" t="s">
        <v>9</v>
      </c>
      <c r="B260" t="s">
        <v>114</v>
      </c>
      <c r="C260" t="s">
        <v>196</v>
      </c>
      <c r="D260">
        <v>17327</v>
      </c>
      <c r="E260">
        <v>17302</v>
      </c>
      <c r="F260">
        <v>16844</v>
      </c>
      <c r="I260">
        <v>2531</v>
      </c>
      <c r="J260">
        <v>4190</v>
      </c>
      <c r="K260">
        <v>6921</v>
      </c>
    </row>
    <row r="261" spans="1:12" x14ac:dyDescent="0.2">
      <c r="A261" t="s">
        <v>9</v>
      </c>
      <c r="B261" t="s">
        <v>114</v>
      </c>
      <c r="C261" t="s">
        <v>197</v>
      </c>
      <c r="D261">
        <v>10682</v>
      </c>
      <c r="E261">
        <v>10315</v>
      </c>
      <c r="I261">
        <v>3284</v>
      </c>
      <c r="J261">
        <v>5195</v>
      </c>
    </row>
    <row r="262" spans="1:12" x14ac:dyDescent="0.2">
      <c r="A262" t="s">
        <v>9</v>
      </c>
      <c r="B262" t="s">
        <v>114</v>
      </c>
      <c r="C262" t="s">
        <v>198</v>
      </c>
      <c r="D262">
        <v>9402</v>
      </c>
      <c r="I262">
        <v>971</v>
      </c>
    </row>
    <row r="263" spans="1:12" x14ac:dyDescent="0.2">
      <c r="A263" t="s">
        <v>9</v>
      </c>
      <c r="B263" t="s">
        <v>111</v>
      </c>
      <c r="C263" t="s">
        <v>195</v>
      </c>
      <c r="D263">
        <v>8660</v>
      </c>
      <c r="E263">
        <v>8660</v>
      </c>
      <c r="F263">
        <v>8660</v>
      </c>
      <c r="G263">
        <v>8660</v>
      </c>
      <c r="I263">
        <v>8660</v>
      </c>
      <c r="J263">
        <v>8660</v>
      </c>
      <c r="K263">
        <v>8660</v>
      </c>
      <c r="L263">
        <v>8660</v>
      </c>
    </row>
    <row r="264" spans="1:12" x14ac:dyDescent="0.2">
      <c r="A264" t="s">
        <v>9</v>
      </c>
      <c r="B264" t="s">
        <v>111</v>
      </c>
      <c r="C264" t="s">
        <v>196</v>
      </c>
      <c r="D264">
        <v>6520</v>
      </c>
      <c r="E264">
        <v>6520</v>
      </c>
      <c r="F264">
        <v>6520</v>
      </c>
      <c r="I264">
        <v>6520</v>
      </c>
      <c r="J264">
        <v>6520</v>
      </c>
      <c r="K264">
        <v>6520</v>
      </c>
    </row>
    <row r="265" spans="1:12" x14ac:dyDescent="0.2">
      <c r="A265" t="s">
        <v>9</v>
      </c>
      <c r="B265" t="s">
        <v>111</v>
      </c>
      <c r="C265" t="s">
        <v>197</v>
      </c>
      <c r="D265">
        <v>12609</v>
      </c>
      <c r="E265">
        <v>12609</v>
      </c>
      <c r="I265">
        <v>11664</v>
      </c>
      <c r="J265">
        <v>12609</v>
      </c>
    </row>
    <row r="266" spans="1:12" x14ac:dyDescent="0.2">
      <c r="A266" t="s">
        <v>9</v>
      </c>
      <c r="B266" t="s">
        <v>111</v>
      </c>
      <c r="C266" t="s">
        <v>198</v>
      </c>
      <c r="D266">
        <v>7917</v>
      </c>
      <c r="I266">
        <v>7767</v>
      </c>
    </row>
    <row r="267" spans="1:12" x14ac:dyDescent="0.2">
      <c r="A267" t="s">
        <v>9</v>
      </c>
      <c r="B267" t="s">
        <v>112</v>
      </c>
      <c r="C267" t="s">
        <v>195</v>
      </c>
      <c r="D267">
        <v>9030</v>
      </c>
      <c r="E267">
        <v>9030</v>
      </c>
      <c r="F267">
        <v>9030</v>
      </c>
      <c r="G267">
        <v>9030</v>
      </c>
      <c r="I267">
        <v>8835</v>
      </c>
      <c r="J267">
        <v>9030</v>
      </c>
      <c r="K267">
        <v>9030</v>
      </c>
      <c r="L267">
        <v>9030</v>
      </c>
    </row>
    <row r="268" spans="1:12" x14ac:dyDescent="0.2">
      <c r="A268" t="s">
        <v>9</v>
      </c>
      <c r="B268" t="s">
        <v>112</v>
      </c>
      <c r="C268" t="s">
        <v>196</v>
      </c>
      <c r="D268">
        <v>9725</v>
      </c>
      <c r="E268">
        <v>9725</v>
      </c>
      <c r="F268">
        <v>9725</v>
      </c>
      <c r="I268">
        <v>9725</v>
      </c>
      <c r="J268">
        <v>9725</v>
      </c>
      <c r="K268">
        <v>9725</v>
      </c>
    </row>
    <row r="269" spans="1:12" x14ac:dyDescent="0.2">
      <c r="A269" t="s">
        <v>9</v>
      </c>
      <c r="B269" t="s">
        <v>112</v>
      </c>
      <c r="C269" t="s">
        <v>197</v>
      </c>
      <c r="D269">
        <v>7765</v>
      </c>
      <c r="E269">
        <v>7765</v>
      </c>
      <c r="I269">
        <v>7455</v>
      </c>
      <c r="J269">
        <v>7765</v>
      </c>
    </row>
    <row r="270" spans="1:12" x14ac:dyDescent="0.2">
      <c r="A270" t="s">
        <v>9</v>
      </c>
      <c r="B270" t="s">
        <v>112</v>
      </c>
      <c r="C270" t="s">
        <v>198</v>
      </c>
      <c r="D270">
        <v>8570</v>
      </c>
      <c r="I270">
        <v>8385</v>
      </c>
    </row>
    <row r="271" spans="1:12" x14ac:dyDescent="0.2">
      <c r="A271" t="s">
        <v>9</v>
      </c>
      <c r="B271" t="s">
        <v>115</v>
      </c>
      <c r="C271" t="s">
        <v>195</v>
      </c>
      <c r="D271">
        <v>34912</v>
      </c>
      <c r="E271">
        <v>30757</v>
      </c>
      <c r="F271">
        <v>29794</v>
      </c>
      <c r="G271">
        <v>28396</v>
      </c>
      <c r="I271">
        <v>11849</v>
      </c>
      <c r="J271">
        <v>23921</v>
      </c>
      <c r="K271">
        <v>25260</v>
      </c>
      <c r="L271">
        <v>25592</v>
      </c>
    </row>
    <row r="272" spans="1:12" x14ac:dyDescent="0.2">
      <c r="A272" t="s">
        <v>9</v>
      </c>
      <c r="B272" t="s">
        <v>115</v>
      </c>
      <c r="C272" t="s">
        <v>196</v>
      </c>
      <c r="D272">
        <v>43020</v>
      </c>
      <c r="E272">
        <v>41698</v>
      </c>
      <c r="F272">
        <v>39570</v>
      </c>
      <c r="I272">
        <v>18637</v>
      </c>
      <c r="J272">
        <v>32874</v>
      </c>
      <c r="K272">
        <v>34148</v>
      </c>
    </row>
    <row r="273" spans="1:12" x14ac:dyDescent="0.2">
      <c r="A273" t="s">
        <v>9</v>
      </c>
      <c r="B273" t="s">
        <v>115</v>
      </c>
      <c r="C273" t="s">
        <v>197</v>
      </c>
      <c r="D273">
        <v>43096</v>
      </c>
      <c r="E273">
        <v>40616</v>
      </c>
      <c r="I273">
        <v>20169</v>
      </c>
      <c r="J273">
        <v>31761</v>
      </c>
    </row>
    <row r="274" spans="1:12" x14ac:dyDescent="0.2">
      <c r="A274" t="s">
        <v>9</v>
      </c>
      <c r="B274" t="s">
        <v>115</v>
      </c>
      <c r="C274" t="s">
        <v>198</v>
      </c>
      <c r="D274">
        <v>40897</v>
      </c>
      <c r="I274">
        <v>16130</v>
      </c>
    </row>
    <row r="275" spans="1:12" x14ac:dyDescent="0.2">
      <c r="A275" t="s">
        <v>9</v>
      </c>
      <c r="B275" t="s">
        <v>113</v>
      </c>
      <c r="C275" t="s">
        <v>195</v>
      </c>
      <c r="D275">
        <v>3018</v>
      </c>
      <c r="E275">
        <v>3018</v>
      </c>
      <c r="F275">
        <v>3018</v>
      </c>
      <c r="G275">
        <v>3018</v>
      </c>
      <c r="I275">
        <v>3018</v>
      </c>
      <c r="J275">
        <v>3018</v>
      </c>
      <c r="K275">
        <v>3018</v>
      </c>
      <c r="L275">
        <v>3018</v>
      </c>
    </row>
    <row r="276" spans="1:12" x14ac:dyDescent="0.2">
      <c r="A276" t="s">
        <v>9</v>
      </c>
      <c r="B276" t="s">
        <v>113</v>
      </c>
      <c r="C276" t="s">
        <v>196</v>
      </c>
      <c r="D276">
        <v>3069</v>
      </c>
      <c r="E276">
        <v>3069</v>
      </c>
      <c r="F276">
        <v>3069</v>
      </c>
      <c r="I276">
        <v>3069</v>
      </c>
      <c r="J276">
        <v>3069</v>
      </c>
      <c r="K276">
        <v>3069</v>
      </c>
    </row>
    <row r="277" spans="1:12" x14ac:dyDescent="0.2">
      <c r="A277" t="s">
        <v>9</v>
      </c>
      <c r="B277" t="s">
        <v>113</v>
      </c>
      <c r="C277" t="s">
        <v>197</v>
      </c>
      <c r="D277">
        <v>2529</v>
      </c>
      <c r="E277">
        <v>2529</v>
      </c>
      <c r="I277">
        <v>2479</v>
      </c>
      <c r="J277">
        <v>2529</v>
      </c>
    </row>
    <row r="278" spans="1:12" x14ac:dyDescent="0.2">
      <c r="A278" t="s">
        <v>9</v>
      </c>
      <c r="B278" t="s">
        <v>113</v>
      </c>
      <c r="C278" t="s">
        <v>198</v>
      </c>
      <c r="D278">
        <v>4712</v>
      </c>
      <c r="I278">
        <v>4712</v>
      </c>
    </row>
    <row r="279" spans="1:12" x14ac:dyDescent="0.2">
      <c r="A279" t="s">
        <v>9</v>
      </c>
      <c r="B279" t="s">
        <v>72</v>
      </c>
      <c r="C279" t="s">
        <v>195</v>
      </c>
      <c r="D279">
        <v>5258</v>
      </c>
      <c r="E279">
        <v>4850</v>
      </c>
      <c r="F279">
        <v>4850</v>
      </c>
      <c r="G279">
        <v>4850</v>
      </c>
      <c r="I279">
        <v>4850</v>
      </c>
      <c r="J279">
        <v>4850</v>
      </c>
      <c r="K279">
        <v>4850</v>
      </c>
      <c r="L279">
        <v>4850</v>
      </c>
    </row>
    <row r="280" spans="1:12" x14ac:dyDescent="0.2">
      <c r="A280" t="s">
        <v>9</v>
      </c>
      <c r="B280" t="s">
        <v>72</v>
      </c>
      <c r="C280" t="s">
        <v>196</v>
      </c>
      <c r="D280">
        <v>4296</v>
      </c>
      <c r="E280">
        <v>4296</v>
      </c>
      <c r="F280">
        <v>4296</v>
      </c>
      <c r="I280">
        <v>4296</v>
      </c>
      <c r="J280">
        <v>4296</v>
      </c>
      <c r="K280">
        <v>4296</v>
      </c>
    </row>
    <row r="281" spans="1:12" x14ac:dyDescent="0.2">
      <c r="A281" t="s">
        <v>9</v>
      </c>
      <c r="B281" t="s">
        <v>72</v>
      </c>
      <c r="C281" t="s">
        <v>197</v>
      </c>
      <c r="D281">
        <v>5492</v>
      </c>
      <c r="E281">
        <v>5492</v>
      </c>
      <c r="I281">
        <v>5492</v>
      </c>
      <c r="J281">
        <v>5492</v>
      </c>
    </row>
    <row r="282" spans="1:12" x14ac:dyDescent="0.2">
      <c r="A282" t="s">
        <v>9</v>
      </c>
      <c r="B282" t="s">
        <v>72</v>
      </c>
      <c r="C282" t="s">
        <v>198</v>
      </c>
      <c r="D282">
        <v>7418</v>
      </c>
      <c r="I282">
        <v>7358</v>
      </c>
    </row>
    <row r="283" spans="1:12" x14ac:dyDescent="0.2">
      <c r="A283" t="s">
        <v>10</v>
      </c>
      <c r="B283" t="s">
        <v>109</v>
      </c>
      <c r="C283" t="s">
        <v>195</v>
      </c>
      <c r="D283">
        <v>370568.05</v>
      </c>
      <c r="E283">
        <v>312841.27</v>
      </c>
      <c r="F283">
        <v>310676.40000000002</v>
      </c>
      <c r="G283">
        <v>310335.40000000002</v>
      </c>
      <c r="I283">
        <v>20312.13</v>
      </c>
      <c r="J283">
        <v>40131.86</v>
      </c>
      <c r="K283">
        <v>51399.35</v>
      </c>
      <c r="L283">
        <v>62192.09</v>
      </c>
    </row>
    <row r="284" spans="1:12" x14ac:dyDescent="0.2">
      <c r="A284" t="s">
        <v>10</v>
      </c>
      <c r="B284" t="s">
        <v>109</v>
      </c>
      <c r="C284" t="s">
        <v>196</v>
      </c>
      <c r="D284">
        <v>682019.03</v>
      </c>
      <c r="E284">
        <v>628117.35</v>
      </c>
      <c r="F284">
        <v>619298.03</v>
      </c>
      <c r="I284">
        <v>28522.42</v>
      </c>
      <c r="J284">
        <v>46125.11</v>
      </c>
      <c r="K284">
        <v>57472.52</v>
      </c>
    </row>
    <row r="285" spans="1:12" x14ac:dyDescent="0.2">
      <c r="A285" t="s">
        <v>10</v>
      </c>
      <c r="B285" t="s">
        <v>109</v>
      </c>
      <c r="C285" t="s">
        <v>197</v>
      </c>
      <c r="D285">
        <v>402749.8</v>
      </c>
      <c r="E285">
        <v>398788.65</v>
      </c>
      <c r="I285">
        <v>16950.03</v>
      </c>
      <c r="J285">
        <v>35654.9</v>
      </c>
    </row>
    <row r="286" spans="1:12" x14ac:dyDescent="0.2">
      <c r="A286" t="s">
        <v>10</v>
      </c>
      <c r="B286" t="s">
        <v>109</v>
      </c>
      <c r="C286" t="s">
        <v>198</v>
      </c>
      <c r="D286">
        <v>465539.52</v>
      </c>
      <c r="I286">
        <v>19772.48</v>
      </c>
    </row>
    <row r="287" spans="1:12" x14ac:dyDescent="0.2">
      <c r="A287" t="s">
        <v>10</v>
      </c>
      <c r="B287" t="s">
        <v>145</v>
      </c>
      <c r="C287" t="s">
        <v>195</v>
      </c>
      <c r="D287">
        <v>611</v>
      </c>
      <c r="E287">
        <v>611</v>
      </c>
      <c r="F287">
        <v>611</v>
      </c>
      <c r="G287">
        <v>611</v>
      </c>
      <c r="I287">
        <v>0</v>
      </c>
      <c r="J287">
        <v>0</v>
      </c>
      <c r="K287">
        <v>0</v>
      </c>
      <c r="L287">
        <v>0</v>
      </c>
    </row>
    <row r="288" spans="1:12" x14ac:dyDescent="0.2">
      <c r="A288" t="s">
        <v>10</v>
      </c>
      <c r="B288" t="s">
        <v>145</v>
      </c>
      <c r="C288" t="s">
        <v>196</v>
      </c>
      <c r="D288">
        <v>264985.56</v>
      </c>
      <c r="E288">
        <v>264985.56</v>
      </c>
      <c r="F288">
        <v>264985.56</v>
      </c>
      <c r="I288">
        <v>0</v>
      </c>
      <c r="J288">
        <v>0</v>
      </c>
      <c r="K288">
        <v>0</v>
      </c>
    </row>
    <row r="289" spans="1:12" x14ac:dyDescent="0.2">
      <c r="A289" t="s">
        <v>10</v>
      </c>
      <c r="B289" t="s">
        <v>145</v>
      </c>
      <c r="C289" t="s">
        <v>197</v>
      </c>
      <c r="D289">
        <v>53539</v>
      </c>
      <c r="E289">
        <v>53539</v>
      </c>
      <c r="I289">
        <v>0</v>
      </c>
      <c r="J289">
        <v>0</v>
      </c>
    </row>
    <row r="290" spans="1:12" x14ac:dyDescent="0.2">
      <c r="A290" t="s">
        <v>10</v>
      </c>
      <c r="B290" t="s">
        <v>145</v>
      </c>
      <c r="C290" t="s">
        <v>198</v>
      </c>
      <c r="D290">
        <v>160394</v>
      </c>
      <c r="I290">
        <v>0</v>
      </c>
    </row>
    <row r="291" spans="1:12" x14ac:dyDescent="0.2">
      <c r="A291" t="s">
        <v>10</v>
      </c>
      <c r="B291" t="s">
        <v>110</v>
      </c>
      <c r="C291" t="s">
        <v>195</v>
      </c>
      <c r="D291">
        <v>231579.9</v>
      </c>
      <c r="E291">
        <v>228435.20000000001</v>
      </c>
      <c r="F291">
        <v>226701.38</v>
      </c>
      <c r="G291">
        <v>226676.29</v>
      </c>
      <c r="I291">
        <v>25693.29</v>
      </c>
      <c r="J291">
        <v>49715.3</v>
      </c>
      <c r="K291">
        <v>64978.35</v>
      </c>
      <c r="L291">
        <v>72412.72</v>
      </c>
    </row>
    <row r="292" spans="1:12" x14ac:dyDescent="0.2">
      <c r="A292" t="s">
        <v>10</v>
      </c>
      <c r="B292" t="s">
        <v>110</v>
      </c>
      <c r="C292" t="s">
        <v>196</v>
      </c>
      <c r="D292">
        <v>214704.26</v>
      </c>
      <c r="E292">
        <v>213692.52</v>
      </c>
      <c r="F292">
        <v>212499.09</v>
      </c>
      <c r="I292">
        <v>43528.88</v>
      </c>
      <c r="J292">
        <v>68581.45</v>
      </c>
      <c r="K292">
        <v>79790.22</v>
      </c>
    </row>
    <row r="293" spans="1:12" x14ac:dyDescent="0.2">
      <c r="A293" t="s">
        <v>10</v>
      </c>
      <c r="B293" t="s">
        <v>110</v>
      </c>
      <c r="C293" t="s">
        <v>197</v>
      </c>
      <c r="D293">
        <v>219961.55</v>
      </c>
      <c r="E293">
        <v>217565.53</v>
      </c>
      <c r="I293">
        <v>33150.629999999997</v>
      </c>
      <c r="J293">
        <v>51266.04</v>
      </c>
    </row>
    <row r="294" spans="1:12" x14ac:dyDescent="0.2">
      <c r="A294" t="s">
        <v>10</v>
      </c>
      <c r="B294" t="s">
        <v>110</v>
      </c>
      <c r="C294" t="s">
        <v>198</v>
      </c>
      <c r="D294">
        <v>208889.77</v>
      </c>
      <c r="I294">
        <v>24328.46</v>
      </c>
    </row>
    <row r="295" spans="1:12" x14ac:dyDescent="0.2">
      <c r="A295" t="s">
        <v>10</v>
      </c>
      <c r="B295" t="s">
        <v>116</v>
      </c>
      <c r="C295" t="s">
        <v>195</v>
      </c>
      <c r="D295">
        <v>14905</v>
      </c>
      <c r="E295">
        <v>12240</v>
      </c>
      <c r="F295">
        <v>11355</v>
      </c>
      <c r="G295">
        <v>9030</v>
      </c>
      <c r="I295">
        <v>1419</v>
      </c>
      <c r="J295">
        <v>1839</v>
      </c>
      <c r="K295">
        <v>2574</v>
      </c>
      <c r="L295">
        <v>2994</v>
      </c>
    </row>
    <row r="296" spans="1:12" x14ac:dyDescent="0.2">
      <c r="A296" t="s">
        <v>10</v>
      </c>
      <c r="B296" t="s">
        <v>116</v>
      </c>
      <c r="C296" t="s">
        <v>196</v>
      </c>
      <c r="D296">
        <v>14207</v>
      </c>
      <c r="E296">
        <v>13692</v>
      </c>
      <c r="F296">
        <v>12217</v>
      </c>
      <c r="I296">
        <v>235</v>
      </c>
      <c r="J296">
        <v>995</v>
      </c>
      <c r="K296">
        <v>1415</v>
      </c>
    </row>
    <row r="297" spans="1:12" x14ac:dyDescent="0.2">
      <c r="A297" t="s">
        <v>10</v>
      </c>
      <c r="B297" t="s">
        <v>116</v>
      </c>
      <c r="C297" t="s">
        <v>197</v>
      </c>
      <c r="D297">
        <v>10043</v>
      </c>
      <c r="E297">
        <v>9558</v>
      </c>
      <c r="I297">
        <v>537</v>
      </c>
      <c r="J297">
        <v>722</v>
      </c>
    </row>
    <row r="298" spans="1:12" x14ac:dyDescent="0.2">
      <c r="A298" t="s">
        <v>10</v>
      </c>
      <c r="B298" t="s">
        <v>116</v>
      </c>
      <c r="C298" t="s">
        <v>198</v>
      </c>
      <c r="D298">
        <v>11757</v>
      </c>
      <c r="I298">
        <v>267</v>
      </c>
    </row>
    <row r="299" spans="1:12" x14ac:dyDescent="0.2">
      <c r="A299" t="s">
        <v>10</v>
      </c>
      <c r="B299" t="s">
        <v>114</v>
      </c>
      <c r="C299" t="s">
        <v>195</v>
      </c>
      <c r="D299">
        <v>277350.09999999998</v>
      </c>
      <c r="E299">
        <v>266243.98</v>
      </c>
      <c r="F299">
        <v>263235.68</v>
      </c>
      <c r="G299">
        <v>258602.08</v>
      </c>
      <c r="I299">
        <v>66443.77</v>
      </c>
      <c r="J299">
        <v>117132.05</v>
      </c>
      <c r="K299">
        <v>141500.70000000001</v>
      </c>
      <c r="L299">
        <v>149463.70000000001</v>
      </c>
    </row>
    <row r="300" spans="1:12" x14ac:dyDescent="0.2">
      <c r="A300" t="s">
        <v>10</v>
      </c>
      <c r="B300" t="s">
        <v>114</v>
      </c>
      <c r="C300" t="s">
        <v>196</v>
      </c>
      <c r="D300">
        <v>258553.4</v>
      </c>
      <c r="E300">
        <v>255736.4</v>
      </c>
      <c r="F300">
        <v>252691.07</v>
      </c>
      <c r="I300">
        <v>76327.75</v>
      </c>
      <c r="J300">
        <v>116003.85</v>
      </c>
      <c r="K300">
        <v>140934.13</v>
      </c>
    </row>
    <row r="301" spans="1:12" x14ac:dyDescent="0.2">
      <c r="A301" t="s">
        <v>10</v>
      </c>
      <c r="B301" t="s">
        <v>114</v>
      </c>
      <c r="C301" t="s">
        <v>197</v>
      </c>
      <c r="D301">
        <v>242556.03</v>
      </c>
      <c r="E301">
        <v>238696.53</v>
      </c>
      <c r="I301">
        <v>72204.98</v>
      </c>
      <c r="J301">
        <v>98141.81</v>
      </c>
    </row>
    <row r="302" spans="1:12" x14ac:dyDescent="0.2">
      <c r="A302" t="s">
        <v>10</v>
      </c>
      <c r="B302" t="s">
        <v>114</v>
      </c>
      <c r="C302" t="s">
        <v>198</v>
      </c>
      <c r="D302">
        <v>259498.45</v>
      </c>
      <c r="I302">
        <v>58439.97</v>
      </c>
    </row>
    <row r="303" spans="1:12" x14ac:dyDescent="0.2">
      <c r="A303" t="s">
        <v>10</v>
      </c>
      <c r="B303" t="s">
        <v>111</v>
      </c>
      <c r="C303" t="s">
        <v>195</v>
      </c>
      <c r="D303">
        <v>234608.8</v>
      </c>
      <c r="E303">
        <v>232809.8</v>
      </c>
      <c r="F303">
        <v>232809.8</v>
      </c>
      <c r="G303">
        <v>232809.8</v>
      </c>
      <c r="I303">
        <v>233697.8</v>
      </c>
      <c r="J303">
        <v>232099.8</v>
      </c>
      <c r="K303">
        <v>232099.8</v>
      </c>
      <c r="L303">
        <v>232099.8</v>
      </c>
    </row>
    <row r="304" spans="1:12" x14ac:dyDescent="0.2">
      <c r="A304" t="s">
        <v>10</v>
      </c>
      <c r="B304" t="s">
        <v>111</v>
      </c>
      <c r="C304" t="s">
        <v>196</v>
      </c>
      <c r="D304">
        <v>248305.59</v>
      </c>
      <c r="E304">
        <v>249235.59</v>
      </c>
      <c r="F304">
        <v>249235.59</v>
      </c>
      <c r="I304">
        <v>249045.42</v>
      </c>
      <c r="J304">
        <v>248975.42</v>
      </c>
      <c r="K304">
        <v>248975.42</v>
      </c>
    </row>
    <row r="305" spans="1:12" x14ac:dyDescent="0.2">
      <c r="A305" t="s">
        <v>10</v>
      </c>
      <c r="B305" t="s">
        <v>111</v>
      </c>
      <c r="C305" t="s">
        <v>197</v>
      </c>
      <c r="D305">
        <v>251065.45</v>
      </c>
      <c r="E305">
        <v>251065.45</v>
      </c>
      <c r="I305">
        <v>248295.47</v>
      </c>
      <c r="J305">
        <v>249706.47</v>
      </c>
    </row>
    <row r="306" spans="1:12" x14ac:dyDescent="0.2">
      <c r="A306" t="s">
        <v>10</v>
      </c>
      <c r="B306" t="s">
        <v>111</v>
      </c>
      <c r="C306" t="s">
        <v>198</v>
      </c>
      <c r="D306">
        <v>217403.91</v>
      </c>
      <c r="I306">
        <v>215073.91</v>
      </c>
    </row>
    <row r="307" spans="1:12" x14ac:dyDescent="0.2">
      <c r="A307" t="s">
        <v>10</v>
      </c>
      <c r="B307" t="s">
        <v>112</v>
      </c>
      <c r="C307" t="s">
        <v>195</v>
      </c>
      <c r="D307">
        <v>162711.29999999999</v>
      </c>
      <c r="E307">
        <v>162506.29999999999</v>
      </c>
      <c r="F307">
        <v>162506.29999999999</v>
      </c>
      <c r="G307">
        <v>162506.29999999999</v>
      </c>
      <c r="I307">
        <v>162656.29999999999</v>
      </c>
      <c r="J307">
        <v>162451.29999999999</v>
      </c>
      <c r="K307">
        <v>162451.29999999999</v>
      </c>
      <c r="L307">
        <v>162451.29999999999</v>
      </c>
    </row>
    <row r="308" spans="1:12" x14ac:dyDescent="0.2">
      <c r="A308" t="s">
        <v>10</v>
      </c>
      <c r="B308" t="s">
        <v>112</v>
      </c>
      <c r="C308" t="s">
        <v>196</v>
      </c>
      <c r="D308">
        <v>171520.05</v>
      </c>
      <c r="E308">
        <v>171520.05</v>
      </c>
      <c r="F308">
        <v>171520.05</v>
      </c>
      <c r="I308">
        <v>170715.05</v>
      </c>
      <c r="J308">
        <v>171335.05</v>
      </c>
      <c r="K308">
        <v>171335.05</v>
      </c>
    </row>
    <row r="309" spans="1:12" x14ac:dyDescent="0.2">
      <c r="A309" t="s">
        <v>10</v>
      </c>
      <c r="B309" t="s">
        <v>112</v>
      </c>
      <c r="C309" t="s">
        <v>197</v>
      </c>
      <c r="D309">
        <v>177670</v>
      </c>
      <c r="E309">
        <v>177670</v>
      </c>
      <c r="I309">
        <v>177370</v>
      </c>
      <c r="J309">
        <v>177621</v>
      </c>
    </row>
    <row r="310" spans="1:12" x14ac:dyDescent="0.2">
      <c r="A310" t="s">
        <v>10</v>
      </c>
      <c r="B310" t="s">
        <v>112</v>
      </c>
      <c r="C310" t="s">
        <v>198</v>
      </c>
      <c r="D310">
        <v>153938.13</v>
      </c>
      <c r="I310">
        <v>153608.13</v>
      </c>
    </row>
    <row r="311" spans="1:12" x14ac:dyDescent="0.2">
      <c r="A311" t="s">
        <v>10</v>
      </c>
      <c r="B311" t="s">
        <v>115</v>
      </c>
      <c r="C311" t="s">
        <v>195</v>
      </c>
      <c r="D311">
        <v>614052.56000000006</v>
      </c>
      <c r="E311">
        <v>567160.18000000005</v>
      </c>
      <c r="F311">
        <v>559304.18000000005</v>
      </c>
      <c r="G311">
        <v>558093.18000000005</v>
      </c>
      <c r="I311">
        <v>298883.19</v>
      </c>
      <c r="J311">
        <v>471254.81</v>
      </c>
      <c r="K311">
        <v>492967.51</v>
      </c>
      <c r="L311">
        <v>502286.11</v>
      </c>
    </row>
    <row r="312" spans="1:12" x14ac:dyDescent="0.2">
      <c r="A312" t="s">
        <v>10</v>
      </c>
      <c r="B312" t="s">
        <v>115</v>
      </c>
      <c r="C312" t="s">
        <v>196</v>
      </c>
      <c r="D312">
        <v>584675.30000000005</v>
      </c>
      <c r="E312">
        <v>549033</v>
      </c>
      <c r="F312">
        <v>538497</v>
      </c>
      <c r="I312">
        <v>318443.68</v>
      </c>
      <c r="J312">
        <v>456248.2</v>
      </c>
      <c r="K312">
        <v>473457</v>
      </c>
    </row>
    <row r="313" spans="1:12" x14ac:dyDescent="0.2">
      <c r="A313" t="s">
        <v>10</v>
      </c>
      <c r="B313" t="s">
        <v>115</v>
      </c>
      <c r="C313" t="s">
        <v>197</v>
      </c>
      <c r="D313">
        <v>610335.65</v>
      </c>
      <c r="E313">
        <v>555925.61</v>
      </c>
      <c r="I313">
        <v>296489.03000000003</v>
      </c>
      <c r="J313">
        <v>435833.41</v>
      </c>
    </row>
    <row r="314" spans="1:12" x14ac:dyDescent="0.2">
      <c r="A314" t="s">
        <v>10</v>
      </c>
      <c r="B314" t="s">
        <v>115</v>
      </c>
      <c r="C314" t="s">
        <v>198</v>
      </c>
      <c r="D314">
        <v>506049.89</v>
      </c>
      <c r="I314">
        <v>236770.87</v>
      </c>
    </row>
    <row r="315" spans="1:12" x14ac:dyDescent="0.2">
      <c r="A315" t="s">
        <v>10</v>
      </c>
      <c r="B315" t="s">
        <v>113</v>
      </c>
      <c r="C315" t="s">
        <v>195</v>
      </c>
      <c r="D315">
        <v>85828.06</v>
      </c>
      <c r="E315">
        <v>85828.06</v>
      </c>
      <c r="F315">
        <v>85828.06</v>
      </c>
      <c r="G315">
        <v>85828.06</v>
      </c>
      <c r="I315">
        <v>85828.06</v>
      </c>
      <c r="J315">
        <v>85828.06</v>
      </c>
      <c r="K315">
        <v>85828.06</v>
      </c>
      <c r="L315">
        <v>85828.06</v>
      </c>
    </row>
    <row r="316" spans="1:12" x14ac:dyDescent="0.2">
      <c r="A316" t="s">
        <v>10</v>
      </c>
      <c r="B316" t="s">
        <v>113</v>
      </c>
      <c r="C316" t="s">
        <v>196</v>
      </c>
      <c r="D316">
        <v>96820.74</v>
      </c>
      <c r="E316">
        <v>96420.74</v>
      </c>
      <c r="F316">
        <v>96420.74</v>
      </c>
      <c r="I316">
        <v>96820.74</v>
      </c>
      <c r="J316">
        <v>96420.74</v>
      </c>
      <c r="K316">
        <v>96420.74</v>
      </c>
    </row>
    <row r="317" spans="1:12" x14ac:dyDescent="0.2">
      <c r="A317" t="s">
        <v>10</v>
      </c>
      <c r="B317" t="s">
        <v>113</v>
      </c>
      <c r="C317" t="s">
        <v>197</v>
      </c>
      <c r="D317">
        <v>100122.2</v>
      </c>
      <c r="E317">
        <v>100122.2</v>
      </c>
      <c r="I317">
        <v>99721.2</v>
      </c>
      <c r="J317">
        <v>99721.2</v>
      </c>
    </row>
    <row r="318" spans="1:12" x14ac:dyDescent="0.2">
      <c r="A318" t="s">
        <v>10</v>
      </c>
      <c r="B318" t="s">
        <v>113</v>
      </c>
      <c r="C318" t="s">
        <v>198</v>
      </c>
      <c r="D318">
        <v>92737.3</v>
      </c>
      <c r="I318">
        <v>92737.3</v>
      </c>
    </row>
    <row r="319" spans="1:12" x14ac:dyDescent="0.2">
      <c r="A319" t="s">
        <v>10</v>
      </c>
      <c r="B319" t="s">
        <v>72</v>
      </c>
      <c r="C319" t="s">
        <v>195</v>
      </c>
      <c r="D319">
        <v>74076.5</v>
      </c>
      <c r="E319">
        <v>74076.5</v>
      </c>
      <c r="F319">
        <v>73668.5</v>
      </c>
      <c r="G319">
        <v>73668.5</v>
      </c>
      <c r="I319">
        <v>72540.5</v>
      </c>
      <c r="J319">
        <v>72958.5</v>
      </c>
      <c r="K319">
        <v>72958.5</v>
      </c>
      <c r="L319">
        <v>72958.5</v>
      </c>
    </row>
    <row r="320" spans="1:12" x14ac:dyDescent="0.2">
      <c r="A320" t="s">
        <v>10</v>
      </c>
      <c r="B320" t="s">
        <v>72</v>
      </c>
      <c r="C320" t="s">
        <v>196</v>
      </c>
      <c r="D320">
        <v>88330.5</v>
      </c>
      <c r="E320">
        <v>87514.5</v>
      </c>
      <c r="F320">
        <v>86290.5</v>
      </c>
      <c r="I320">
        <v>85850.5</v>
      </c>
      <c r="J320">
        <v>85850.5</v>
      </c>
      <c r="K320">
        <v>85850.5</v>
      </c>
    </row>
    <row r="321" spans="1:12" x14ac:dyDescent="0.2">
      <c r="A321" t="s">
        <v>10</v>
      </c>
      <c r="B321" t="s">
        <v>72</v>
      </c>
      <c r="C321" t="s">
        <v>197</v>
      </c>
      <c r="D321">
        <v>98775.5</v>
      </c>
      <c r="E321">
        <v>97133.5</v>
      </c>
      <c r="I321">
        <v>97133.5</v>
      </c>
      <c r="J321">
        <v>97133.5</v>
      </c>
    </row>
    <row r="322" spans="1:12" x14ac:dyDescent="0.2">
      <c r="A322" t="s">
        <v>10</v>
      </c>
      <c r="B322" t="s">
        <v>72</v>
      </c>
      <c r="C322" t="s">
        <v>198</v>
      </c>
      <c r="D322">
        <v>77640</v>
      </c>
      <c r="I322">
        <v>76949</v>
      </c>
    </row>
    <row r="323" spans="1:12" x14ac:dyDescent="0.2">
      <c r="A323" t="s">
        <v>11</v>
      </c>
      <c r="B323" t="s">
        <v>109</v>
      </c>
      <c r="C323" t="s">
        <v>195</v>
      </c>
      <c r="D323">
        <v>610828.93000000005</v>
      </c>
      <c r="E323">
        <v>607679</v>
      </c>
      <c r="F323">
        <v>604392</v>
      </c>
      <c r="G323">
        <v>602124</v>
      </c>
      <c r="I323">
        <v>27949.45</v>
      </c>
      <c r="J323">
        <v>42563.5</v>
      </c>
      <c r="K323">
        <v>55434.03</v>
      </c>
      <c r="L323">
        <v>63204.160000000003</v>
      </c>
    </row>
    <row r="324" spans="1:12" x14ac:dyDescent="0.2">
      <c r="A324" t="s">
        <v>11</v>
      </c>
      <c r="B324" t="s">
        <v>109</v>
      </c>
      <c r="C324" t="s">
        <v>196</v>
      </c>
      <c r="D324">
        <v>635825.25</v>
      </c>
      <c r="E324">
        <v>435181.75</v>
      </c>
      <c r="F324">
        <v>433076.75</v>
      </c>
      <c r="I324">
        <v>25518</v>
      </c>
      <c r="J324">
        <v>41848.75</v>
      </c>
      <c r="K324">
        <v>53537.86</v>
      </c>
    </row>
    <row r="325" spans="1:12" x14ac:dyDescent="0.2">
      <c r="A325" t="s">
        <v>11</v>
      </c>
      <c r="B325" t="s">
        <v>109</v>
      </c>
      <c r="C325" t="s">
        <v>197</v>
      </c>
      <c r="D325">
        <v>517859.5</v>
      </c>
      <c r="E325">
        <v>511041.5</v>
      </c>
      <c r="I325">
        <v>25932.97</v>
      </c>
      <c r="J325">
        <v>35716.97</v>
      </c>
    </row>
    <row r="326" spans="1:12" x14ac:dyDescent="0.2">
      <c r="A326" t="s">
        <v>11</v>
      </c>
      <c r="B326" t="s">
        <v>109</v>
      </c>
      <c r="C326" t="s">
        <v>198</v>
      </c>
      <c r="D326">
        <v>722426.75</v>
      </c>
      <c r="I326">
        <v>27086.15</v>
      </c>
    </row>
    <row r="327" spans="1:12" x14ac:dyDescent="0.2">
      <c r="A327" t="s">
        <v>11</v>
      </c>
      <c r="B327" t="s">
        <v>145</v>
      </c>
      <c r="C327" t="s">
        <v>195</v>
      </c>
      <c r="D327">
        <v>160120</v>
      </c>
      <c r="E327">
        <v>160120</v>
      </c>
      <c r="F327">
        <v>160120</v>
      </c>
      <c r="G327">
        <v>160070</v>
      </c>
      <c r="I327">
        <v>652</v>
      </c>
      <c r="J327">
        <v>652</v>
      </c>
      <c r="K327">
        <v>659</v>
      </c>
      <c r="L327">
        <v>659</v>
      </c>
    </row>
    <row r="328" spans="1:12" x14ac:dyDescent="0.2">
      <c r="A328" t="s">
        <v>11</v>
      </c>
      <c r="B328" t="s">
        <v>145</v>
      </c>
      <c r="C328" t="s">
        <v>196</v>
      </c>
      <c r="D328">
        <v>361162</v>
      </c>
      <c r="E328">
        <v>161162</v>
      </c>
      <c r="F328">
        <v>161062</v>
      </c>
      <c r="I328">
        <v>121</v>
      </c>
      <c r="J328">
        <v>142</v>
      </c>
      <c r="K328">
        <v>229</v>
      </c>
    </row>
    <row r="329" spans="1:12" x14ac:dyDescent="0.2">
      <c r="A329" t="s">
        <v>11</v>
      </c>
      <c r="B329" t="s">
        <v>145</v>
      </c>
      <c r="C329" t="s">
        <v>197</v>
      </c>
      <c r="D329">
        <v>159622</v>
      </c>
      <c r="E329">
        <v>159622</v>
      </c>
      <c r="I329">
        <v>140</v>
      </c>
      <c r="J329">
        <v>140</v>
      </c>
    </row>
    <row r="330" spans="1:12" x14ac:dyDescent="0.2">
      <c r="A330" t="s">
        <v>11</v>
      </c>
      <c r="B330" t="s">
        <v>145</v>
      </c>
      <c r="C330" t="s">
        <v>198</v>
      </c>
      <c r="D330">
        <v>371837</v>
      </c>
      <c r="I330">
        <v>89</v>
      </c>
    </row>
    <row r="331" spans="1:12" x14ac:dyDescent="0.2">
      <c r="A331" t="s">
        <v>11</v>
      </c>
      <c r="B331" t="s">
        <v>110</v>
      </c>
      <c r="C331" t="s">
        <v>195</v>
      </c>
      <c r="D331">
        <v>159824.95000000001</v>
      </c>
      <c r="E331">
        <v>157213.47</v>
      </c>
      <c r="F331">
        <v>156360.47</v>
      </c>
      <c r="G331">
        <v>155109.47</v>
      </c>
      <c r="I331">
        <v>29652.720000000001</v>
      </c>
      <c r="J331">
        <v>48480.47</v>
      </c>
      <c r="K331">
        <v>59507.97</v>
      </c>
      <c r="L331">
        <v>64788.47</v>
      </c>
    </row>
    <row r="332" spans="1:12" x14ac:dyDescent="0.2">
      <c r="A332" t="s">
        <v>11</v>
      </c>
      <c r="B332" t="s">
        <v>110</v>
      </c>
      <c r="C332" t="s">
        <v>196</v>
      </c>
      <c r="D332">
        <v>167161</v>
      </c>
      <c r="E332">
        <v>165294</v>
      </c>
      <c r="F332">
        <v>164969</v>
      </c>
      <c r="I332">
        <v>45002.77</v>
      </c>
      <c r="J332">
        <v>59154.77</v>
      </c>
      <c r="K332">
        <v>67313.75</v>
      </c>
    </row>
    <row r="333" spans="1:12" x14ac:dyDescent="0.2">
      <c r="A333" t="s">
        <v>11</v>
      </c>
      <c r="B333" t="s">
        <v>110</v>
      </c>
      <c r="C333" t="s">
        <v>197</v>
      </c>
      <c r="D333">
        <v>185469.5</v>
      </c>
      <c r="E333">
        <v>182176.5</v>
      </c>
      <c r="I333">
        <v>48797</v>
      </c>
      <c r="J333">
        <v>64708</v>
      </c>
    </row>
    <row r="334" spans="1:12" x14ac:dyDescent="0.2">
      <c r="A334" t="s">
        <v>11</v>
      </c>
      <c r="B334" t="s">
        <v>110</v>
      </c>
      <c r="C334" t="s">
        <v>198</v>
      </c>
      <c r="D334">
        <v>196324</v>
      </c>
      <c r="I334">
        <v>65065</v>
      </c>
    </row>
    <row r="335" spans="1:12" x14ac:dyDescent="0.2">
      <c r="A335" t="s">
        <v>11</v>
      </c>
      <c r="B335" t="s">
        <v>116</v>
      </c>
      <c r="C335" t="s">
        <v>195</v>
      </c>
      <c r="D335">
        <v>7342</v>
      </c>
      <c r="E335">
        <v>7092</v>
      </c>
      <c r="F335">
        <v>6327</v>
      </c>
      <c r="G335">
        <v>6174</v>
      </c>
      <c r="I335">
        <v>136</v>
      </c>
      <c r="J335">
        <v>136</v>
      </c>
      <c r="K335">
        <v>186</v>
      </c>
      <c r="L335">
        <v>286</v>
      </c>
    </row>
    <row r="336" spans="1:12" x14ac:dyDescent="0.2">
      <c r="A336" t="s">
        <v>11</v>
      </c>
      <c r="B336" t="s">
        <v>116</v>
      </c>
      <c r="C336" t="s">
        <v>196</v>
      </c>
      <c r="D336">
        <v>6872</v>
      </c>
      <c r="E336">
        <v>6822</v>
      </c>
      <c r="F336">
        <v>6829</v>
      </c>
      <c r="I336">
        <v>178</v>
      </c>
      <c r="J336">
        <v>837</v>
      </c>
      <c r="K336">
        <v>937</v>
      </c>
    </row>
    <row r="337" spans="1:12" x14ac:dyDescent="0.2">
      <c r="A337" t="s">
        <v>11</v>
      </c>
      <c r="B337" t="s">
        <v>116</v>
      </c>
      <c r="C337" t="s">
        <v>197</v>
      </c>
      <c r="D337">
        <v>7948</v>
      </c>
      <c r="E337">
        <v>7848</v>
      </c>
      <c r="I337">
        <v>1107</v>
      </c>
      <c r="J337">
        <v>1157</v>
      </c>
    </row>
    <row r="338" spans="1:12" x14ac:dyDescent="0.2">
      <c r="A338" t="s">
        <v>11</v>
      </c>
      <c r="B338" t="s">
        <v>116</v>
      </c>
      <c r="C338" t="s">
        <v>198</v>
      </c>
      <c r="D338">
        <v>7066</v>
      </c>
      <c r="I338">
        <v>758</v>
      </c>
    </row>
    <row r="339" spans="1:12" x14ac:dyDescent="0.2">
      <c r="A339" t="s">
        <v>11</v>
      </c>
      <c r="B339" t="s">
        <v>114</v>
      </c>
      <c r="C339" t="s">
        <v>195</v>
      </c>
      <c r="D339">
        <v>101777.39</v>
      </c>
      <c r="E339">
        <v>101602.15</v>
      </c>
      <c r="F339">
        <v>101652.15</v>
      </c>
      <c r="G339">
        <v>101652.15</v>
      </c>
      <c r="I339">
        <v>23467.34</v>
      </c>
      <c r="J339">
        <v>36483.65</v>
      </c>
      <c r="K339">
        <v>41746.400000000001</v>
      </c>
      <c r="L339">
        <v>46784.4</v>
      </c>
    </row>
    <row r="340" spans="1:12" x14ac:dyDescent="0.2">
      <c r="A340" t="s">
        <v>11</v>
      </c>
      <c r="B340" t="s">
        <v>114</v>
      </c>
      <c r="C340" t="s">
        <v>196</v>
      </c>
      <c r="D340">
        <v>135557.1</v>
      </c>
      <c r="E340">
        <v>135756.6</v>
      </c>
      <c r="F340">
        <v>134923.6</v>
      </c>
      <c r="I340">
        <v>43344.6</v>
      </c>
      <c r="J340">
        <v>59793.35</v>
      </c>
      <c r="K340">
        <v>67935.850000000006</v>
      </c>
    </row>
    <row r="341" spans="1:12" x14ac:dyDescent="0.2">
      <c r="A341" t="s">
        <v>11</v>
      </c>
      <c r="B341" t="s">
        <v>114</v>
      </c>
      <c r="C341" t="s">
        <v>197</v>
      </c>
      <c r="D341">
        <v>142614.85</v>
      </c>
      <c r="E341">
        <v>142496.85</v>
      </c>
      <c r="I341">
        <v>30793.1</v>
      </c>
      <c r="J341">
        <v>46924.1</v>
      </c>
    </row>
    <row r="342" spans="1:12" x14ac:dyDescent="0.2">
      <c r="A342" t="s">
        <v>11</v>
      </c>
      <c r="B342" t="s">
        <v>114</v>
      </c>
      <c r="C342" t="s">
        <v>198</v>
      </c>
      <c r="D342">
        <v>136571.25</v>
      </c>
      <c r="I342">
        <v>33302.75</v>
      </c>
    </row>
    <row r="343" spans="1:12" x14ac:dyDescent="0.2">
      <c r="A343" t="s">
        <v>11</v>
      </c>
      <c r="B343" t="s">
        <v>111</v>
      </c>
      <c r="C343" t="s">
        <v>195</v>
      </c>
      <c r="D343">
        <v>163040.10999999999</v>
      </c>
      <c r="E343">
        <v>157510.10999999999</v>
      </c>
      <c r="F343">
        <v>157510.10999999999</v>
      </c>
      <c r="G343">
        <v>157510.10999999999</v>
      </c>
      <c r="I343">
        <v>160439.60999999999</v>
      </c>
      <c r="J343">
        <v>156667.60999999999</v>
      </c>
      <c r="K343">
        <v>156668.60999999999</v>
      </c>
      <c r="L343">
        <v>156680.60999999999</v>
      </c>
    </row>
    <row r="344" spans="1:12" x14ac:dyDescent="0.2">
      <c r="A344" t="s">
        <v>11</v>
      </c>
      <c r="B344" t="s">
        <v>111</v>
      </c>
      <c r="C344" t="s">
        <v>196</v>
      </c>
      <c r="D344">
        <v>234623.3</v>
      </c>
      <c r="E344">
        <v>232753.3</v>
      </c>
      <c r="F344">
        <v>232353.3</v>
      </c>
      <c r="I344">
        <v>228776.65</v>
      </c>
      <c r="J344">
        <v>232434.3</v>
      </c>
      <c r="K344">
        <v>232034.3</v>
      </c>
    </row>
    <row r="345" spans="1:12" x14ac:dyDescent="0.2">
      <c r="A345" t="s">
        <v>11</v>
      </c>
      <c r="B345" t="s">
        <v>111</v>
      </c>
      <c r="C345" t="s">
        <v>197</v>
      </c>
      <c r="D345">
        <v>231607.44</v>
      </c>
      <c r="E345">
        <v>231587.44</v>
      </c>
      <c r="I345">
        <v>230083.94</v>
      </c>
      <c r="J345">
        <v>230522.94</v>
      </c>
    </row>
    <row r="346" spans="1:12" x14ac:dyDescent="0.2">
      <c r="A346" t="s">
        <v>11</v>
      </c>
      <c r="B346" t="s">
        <v>111</v>
      </c>
      <c r="C346" t="s">
        <v>198</v>
      </c>
      <c r="D346">
        <v>195999.27</v>
      </c>
      <c r="I346">
        <v>187347.27</v>
      </c>
    </row>
    <row r="347" spans="1:12" x14ac:dyDescent="0.2">
      <c r="A347" t="s">
        <v>11</v>
      </c>
      <c r="B347" t="s">
        <v>112</v>
      </c>
      <c r="C347" t="s">
        <v>195</v>
      </c>
      <c r="D347">
        <v>132243.20000000001</v>
      </c>
      <c r="E347">
        <v>132243.20000000001</v>
      </c>
      <c r="F347">
        <v>132243.20000000001</v>
      </c>
      <c r="G347">
        <v>132243.20000000001</v>
      </c>
      <c r="I347">
        <v>132137.20000000001</v>
      </c>
      <c r="J347">
        <v>132187.20000000001</v>
      </c>
      <c r="K347">
        <v>132193.20000000001</v>
      </c>
      <c r="L347">
        <v>132243.20000000001</v>
      </c>
    </row>
    <row r="348" spans="1:12" x14ac:dyDescent="0.2">
      <c r="A348" t="s">
        <v>11</v>
      </c>
      <c r="B348" t="s">
        <v>112</v>
      </c>
      <c r="C348" t="s">
        <v>196</v>
      </c>
      <c r="D348">
        <v>138038.81</v>
      </c>
      <c r="E348">
        <v>137608.81</v>
      </c>
      <c r="F348">
        <v>137589.81</v>
      </c>
      <c r="I348">
        <v>134681.81</v>
      </c>
      <c r="J348">
        <v>137286.81</v>
      </c>
      <c r="K348">
        <v>137346.81</v>
      </c>
    </row>
    <row r="349" spans="1:12" x14ac:dyDescent="0.2">
      <c r="A349" t="s">
        <v>11</v>
      </c>
      <c r="B349" t="s">
        <v>112</v>
      </c>
      <c r="C349" t="s">
        <v>197</v>
      </c>
      <c r="D349">
        <v>144680.87</v>
      </c>
      <c r="E349">
        <v>144335.87</v>
      </c>
      <c r="I349">
        <v>143880.87</v>
      </c>
      <c r="J349">
        <v>144215.87</v>
      </c>
    </row>
    <row r="350" spans="1:12" x14ac:dyDescent="0.2">
      <c r="A350" t="s">
        <v>11</v>
      </c>
      <c r="B350" t="s">
        <v>112</v>
      </c>
      <c r="C350" t="s">
        <v>198</v>
      </c>
      <c r="D350">
        <v>118485.42</v>
      </c>
      <c r="I350">
        <v>115799.42</v>
      </c>
    </row>
    <row r="351" spans="1:12" x14ac:dyDescent="0.2">
      <c r="A351" t="s">
        <v>11</v>
      </c>
      <c r="B351" t="s">
        <v>115</v>
      </c>
      <c r="C351" t="s">
        <v>195</v>
      </c>
      <c r="D351">
        <v>307656.2</v>
      </c>
      <c r="E351">
        <v>287494.2</v>
      </c>
      <c r="F351">
        <v>286520.2</v>
      </c>
      <c r="G351">
        <v>286194.2</v>
      </c>
      <c r="I351">
        <v>173408.5</v>
      </c>
      <c r="J351">
        <v>250767.7</v>
      </c>
      <c r="K351">
        <v>258106.7</v>
      </c>
      <c r="L351">
        <v>260437.7</v>
      </c>
    </row>
    <row r="352" spans="1:12" x14ac:dyDescent="0.2">
      <c r="A352" t="s">
        <v>11</v>
      </c>
      <c r="B352" t="s">
        <v>115</v>
      </c>
      <c r="C352" t="s">
        <v>196</v>
      </c>
      <c r="D352">
        <v>372063.4</v>
      </c>
      <c r="E352">
        <v>347502.7</v>
      </c>
      <c r="F352">
        <v>346607.7</v>
      </c>
      <c r="I352">
        <v>209163.1</v>
      </c>
      <c r="J352">
        <v>306262.7</v>
      </c>
      <c r="K352">
        <v>315597.45</v>
      </c>
    </row>
    <row r="353" spans="1:12" x14ac:dyDescent="0.2">
      <c r="A353" t="s">
        <v>11</v>
      </c>
      <c r="B353" t="s">
        <v>115</v>
      </c>
      <c r="C353" t="s">
        <v>197</v>
      </c>
      <c r="D353">
        <v>312489.01</v>
      </c>
      <c r="E353">
        <v>299580.23</v>
      </c>
      <c r="I353">
        <v>186097.4</v>
      </c>
      <c r="J353">
        <v>255761.29</v>
      </c>
    </row>
    <row r="354" spans="1:12" x14ac:dyDescent="0.2">
      <c r="A354" t="s">
        <v>11</v>
      </c>
      <c r="B354" t="s">
        <v>115</v>
      </c>
      <c r="C354" t="s">
        <v>198</v>
      </c>
      <c r="D354">
        <v>315476.7</v>
      </c>
      <c r="I354">
        <v>178564.57</v>
      </c>
    </row>
    <row r="355" spans="1:12" x14ac:dyDescent="0.2">
      <c r="A355" t="s">
        <v>11</v>
      </c>
      <c r="B355" t="s">
        <v>113</v>
      </c>
      <c r="C355" t="s">
        <v>195</v>
      </c>
      <c r="D355">
        <v>77351.320000000007</v>
      </c>
      <c r="E355">
        <v>76982.64</v>
      </c>
      <c r="F355">
        <v>76982.649999999994</v>
      </c>
      <c r="G355">
        <v>76976.649999999994</v>
      </c>
      <c r="I355">
        <v>76480.34</v>
      </c>
      <c r="J355">
        <v>76854.67</v>
      </c>
      <c r="K355">
        <v>76854.67</v>
      </c>
      <c r="L355">
        <v>76854.67</v>
      </c>
    </row>
    <row r="356" spans="1:12" x14ac:dyDescent="0.2">
      <c r="A356" t="s">
        <v>11</v>
      </c>
      <c r="B356" t="s">
        <v>113</v>
      </c>
      <c r="C356" t="s">
        <v>196</v>
      </c>
      <c r="D356">
        <v>81429.06</v>
      </c>
      <c r="E356">
        <v>81194.06</v>
      </c>
      <c r="F356">
        <v>81225.36</v>
      </c>
      <c r="I356">
        <v>78483.899999999994</v>
      </c>
      <c r="J356">
        <v>79064.899999999994</v>
      </c>
      <c r="K356">
        <v>79459.899999999994</v>
      </c>
    </row>
    <row r="357" spans="1:12" x14ac:dyDescent="0.2">
      <c r="A357" t="s">
        <v>11</v>
      </c>
      <c r="B357" t="s">
        <v>113</v>
      </c>
      <c r="C357" t="s">
        <v>197</v>
      </c>
      <c r="D357">
        <v>87634.48</v>
      </c>
      <c r="E357">
        <v>86834.48</v>
      </c>
      <c r="I357">
        <v>82997.5</v>
      </c>
      <c r="J357">
        <v>86288.5</v>
      </c>
    </row>
    <row r="358" spans="1:12" x14ac:dyDescent="0.2">
      <c r="A358" t="s">
        <v>11</v>
      </c>
      <c r="B358" t="s">
        <v>113</v>
      </c>
      <c r="C358" t="s">
        <v>198</v>
      </c>
      <c r="D358">
        <v>84741.66</v>
      </c>
      <c r="I358">
        <v>82812.399999999994</v>
      </c>
    </row>
    <row r="359" spans="1:12" x14ac:dyDescent="0.2">
      <c r="A359" t="s">
        <v>11</v>
      </c>
      <c r="B359" t="s">
        <v>72</v>
      </c>
      <c r="C359" t="s">
        <v>195</v>
      </c>
      <c r="D359">
        <v>73703.06</v>
      </c>
      <c r="E359">
        <v>72268.06</v>
      </c>
      <c r="F359">
        <v>72268.06</v>
      </c>
      <c r="G359">
        <v>72208.06</v>
      </c>
      <c r="I359">
        <v>55514.06</v>
      </c>
      <c r="J359">
        <v>61480.56</v>
      </c>
      <c r="K359">
        <v>62478.559999999998</v>
      </c>
      <c r="L359">
        <v>65586.559999999998</v>
      </c>
    </row>
    <row r="360" spans="1:12" x14ac:dyDescent="0.2">
      <c r="A360" t="s">
        <v>11</v>
      </c>
      <c r="B360" t="s">
        <v>72</v>
      </c>
      <c r="C360" t="s">
        <v>196</v>
      </c>
      <c r="D360">
        <v>81815.240000000005</v>
      </c>
      <c r="E360">
        <v>80534.740000000005</v>
      </c>
      <c r="F360">
        <v>80174.740000000005</v>
      </c>
      <c r="I360">
        <v>69627.240000000005</v>
      </c>
      <c r="J360">
        <v>71964.740000000005</v>
      </c>
      <c r="K360">
        <v>73761.240000000005</v>
      </c>
    </row>
    <row r="361" spans="1:12" x14ac:dyDescent="0.2">
      <c r="A361" t="s">
        <v>11</v>
      </c>
      <c r="B361" t="s">
        <v>72</v>
      </c>
      <c r="C361" t="s">
        <v>197</v>
      </c>
      <c r="D361">
        <v>81840.62</v>
      </c>
      <c r="E361">
        <v>79538.12</v>
      </c>
      <c r="I361">
        <v>66826.12</v>
      </c>
      <c r="J361">
        <v>73255.62</v>
      </c>
    </row>
    <row r="362" spans="1:12" x14ac:dyDescent="0.2">
      <c r="A362" t="s">
        <v>11</v>
      </c>
      <c r="B362" t="s">
        <v>72</v>
      </c>
      <c r="C362" t="s">
        <v>198</v>
      </c>
      <c r="D362">
        <v>77598.03</v>
      </c>
      <c r="I362">
        <v>65882.53</v>
      </c>
    </row>
    <row r="363" spans="1:12" x14ac:dyDescent="0.2">
      <c r="A363" t="s">
        <v>12</v>
      </c>
      <c r="B363" t="s">
        <v>109</v>
      </c>
      <c r="C363" t="s">
        <v>195</v>
      </c>
      <c r="D363">
        <v>264797</v>
      </c>
      <c r="E363">
        <v>156524</v>
      </c>
      <c r="F363">
        <v>156524</v>
      </c>
      <c r="G363">
        <v>156524</v>
      </c>
      <c r="I363">
        <v>6249</v>
      </c>
      <c r="J363">
        <v>11885</v>
      </c>
      <c r="K363">
        <v>18977</v>
      </c>
      <c r="L363" t="s">
        <v>199</v>
      </c>
    </row>
    <row r="364" spans="1:12" x14ac:dyDescent="0.2">
      <c r="A364" t="s">
        <v>12</v>
      </c>
      <c r="B364" t="s">
        <v>109</v>
      </c>
      <c r="C364" t="s">
        <v>196</v>
      </c>
      <c r="D364">
        <v>181010</v>
      </c>
      <c r="E364">
        <v>181010</v>
      </c>
      <c r="F364">
        <v>181010</v>
      </c>
      <c r="I364">
        <v>12931</v>
      </c>
      <c r="J364">
        <v>22508</v>
      </c>
      <c r="K364">
        <v>28883</v>
      </c>
    </row>
    <row r="365" spans="1:12" x14ac:dyDescent="0.2">
      <c r="A365" t="s">
        <v>12</v>
      </c>
      <c r="B365" t="s">
        <v>109</v>
      </c>
      <c r="C365" t="s">
        <v>197</v>
      </c>
      <c r="D365">
        <v>183180</v>
      </c>
      <c r="E365">
        <v>183179</v>
      </c>
      <c r="I365">
        <v>12284</v>
      </c>
      <c r="J365">
        <v>22582</v>
      </c>
    </row>
    <row r="366" spans="1:12" x14ac:dyDescent="0.2">
      <c r="A366" t="s">
        <v>12</v>
      </c>
      <c r="B366" t="s">
        <v>109</v>
      </c>
      <c r="C366" t="s">
        <v>198</v>
      </c>
      <c r="D366">
        <v>198681</v>
      </c>
      <c r="I366">
        <v>8594</v>
      </c>
    </row>
    <row r="367" spans="1:12" x14ac:dyDescent="0.2">
      <c r="A367" t="s">
        <v>12</v>
      </c>
      <c r="B367" t="s">
        <v>145</v>
      </c>
      <c r="C367" t="s">
        <v>195</v>
      </c>
      <c r="D367">
        <v>1165540</v>
      </c>
      <c r="E367">
        <v>1163040</v>
      </c>
      <c r="F367">
        <v>1163040</v>
      </c>
      <c r="G367">
        <v>1163040</v>
      </c>
      <c r="I367">
        <v>100</v>
      </c>
      <c r="J367">
        <v>100</v>
      </c>
      <c r="K367">
        <v>100</v>
      </c>
      <c r="L367">
        <v>100</v>
      </c>
    </row>
    <row r="368" spans="1:12" x14ac:dyDescent="0.2">
      <c r="A368" t="s">
        <v>12</v>
      </c>
      <c r="B368" t="s">
        <v>145</v>
      </c>
      <c r="C368" t="s">
        <v>196</v>
      </c>
      <c r="D368">
        <v>106463</v>
      </c>
      <c r="E368">
        <v>106463</v>
      </c>
      <c r="F368">
        <v>106463</v>
      </c>
      <c r="I368">
        <v>27</v>
      </c>
      <c r="J368">
        <v>27</v>
      </c>
      <c r="K368">
        <v>164</v>
      </c>
    </row>
    <row r="369" spans="1:12" x14ac:dyDescent="0.2">
      <c r="A369" t="s">
        <v>12</v>
      </c>
      <c r="B369" t="s">
        <v>145</v>
      </c>
      <c r="C369" t="s">
        <v>197</v>
      </c>
      <c r="D369">
        <v>265134</v>
      </c>
      <c r="E369">
        <v>265134</v>
      </c>
      <c r="I369">
        <v>0</v>
      </c>
      <c r="J369">
        <v>0</v>
      </c>
    </row>
    <row r="370" spans="1:12" x14ac:dyDescent="0.2">
      <c r="A370" t="s">
        <v>12</v>
      </c>
      <c r="B370" t="s">
        <v>145</v>
      </c>
      <c r="C370" t="s">
        <v>198</v>
      </c>
      <c r="D370">
        <v>266370</v>
      </c>
      <c r="I370">
        <v>25</v>
      </c>
    </row>
    <row r="371" spans="1:12" x14ac:dyDescent="0.2">
      <c r="A371" t="s">
        <v>12</v>
      </c>
      <c r="B371" t="s">
        <v>110</v>
      </c>
      <c r="C371" t="s">
        <v>195</v>
      </c>
      <c r="D371">
        <v>155765</v>
      </c>
      <c r="E371">
        <v>155726</v>
      </c>
      <c r="F371">
        <v>155726</v>
      </c>
      <c r="G371">
        <v>155726</v>
      </c>
      <c r="I371">
        <v>28362</v>
      </c>
      <c r="J371">
        <v>58660</v>
      </c>
      <c r="K371">
        <v>71676</v>
      </c>
      <c r="L371">
        <v>79005</v>
      </c>
    </row>
    <row r="372" spans="1:12" x14ac:dyDescent="0.2">
      <c r="A372" t="s">
        <v>12</v>
      </c>
      <c r="B372" t="s">
        <v>110</v>
      </c>
      <c r="C372" t="s">
        <v>196</v>
      </c>
      <c r="D372">
        <v>172155</v>
      </c>
      <c r="E372">
        <v>171743</v>
      </c>
      <c r="F372">
        <v>171743</v>
      </c>
      <c r="I372">
        <v>31258</v>
      </c>
      <c r="J372">
        <v>57138</v>
      </c>
      <c r="K372">
        <v>71199</v>
      </c>
    </row>
    <row r="373" spans="1:12" x14ac:dyDescent="0.2">
      <c r="A373" t="s">
        <v>12</v>
      </c>
      <c r="B373" t="s">
        <v>110</v>
      </c>
      <c r="C373" t="s">
        <v>197</v>
      </c>
      <c r="D373">
        <v>170980</v>
      </c>
      <c r="E373">
        <v>169415</v>
      </c>
      <c r="I373">
        <v>33863</v>
      </c>
      <c r="J373">
        <v>64366</v>
      </c>
    </row>
    <row r="374" spans="1:12" x14ac:dyDescent="0.2">
      <c r="A374" t="s">
        <v>12</v>
      </c>
      <c r="B374" t="s">
        <v>110</v>
      </c>
      <c r="C374" t="s">
        <v>198</v>
      </c>
      <c r="D374">
        <v>152778</v>
      </c>
      <c r="I374">
        <v>22181</v>
      </c>
    </row>
    <row r="375" spans="1:12" x14ac:dyDescent="0.2">
      <c r="A375" t="s">
        <v>12</v>
      </c>
      <c r="B375" t="s">
        <v>116</v>
      </c>
      <c r="C375" t="s">
        <v>195</v>
      </c>
      <c r="D375">
        <v>17130</v>
      </c>
      <c r="E375">
        <v>17130</v>
      </c>
      <c r="F375">
        <v>17130</v>
      </c>
      <c r="G375">
        <v>17130</v>
      </c>
      <c r="I375">
        <v>337</v>
      </c>
      <c r="J375">
        <v>1739</v>
      </c>
      <c r="K375">
        <v>2443</v>
      </c>
      <c r="L375">
        <v>2796</v>
      </c>
    </row>
    <row r="376" spans="1:12" x14ac:dyDescent="0.2">
      <c r="A376" t="s">
        <v>12</v>
      </c>
      <c r="B376" t="s">
        <v>116</v>
      </c>
      <c r="C376" t="s">
        <v>196</v>
      </c>
      <c r="D376">
        <v>24996</v>
      </c>
      <c r="E376">
        <v>24728</v>
      </c>
      <c r="F376">
        <v>24360</v>
      </c>
      <c r="I376">
        <v>87</v>
      </c>
      <c r="J376">
        <v>2170</v>
      </c>
      <c r="K376">
        <v>5772</v>
      </c>
    </row>
    <row r="377" spans="1:12" x14ac:dyDescent="0.2">
      <c r="A377" t="s">
        <v>12</v>
      </c>
      <c r="B377" t="s">
        <v>116</v>
      </c>
      <c r="C377" t="s">
        <v>197</v>
      </c>
      <c r="D377">
        <v>18792</v>
      </c>
      <c r="E377">
        <v>18792</v>
      </c>
      <c r="I377">
        <v>1097</v>
      </c>
      <c r="J377">
        <v>3155</v>
      </c>
    </row>
    <row r="378" spans="1:12" x14ac:dyDescent="0.2">
      <c r="A378" t="s">
        <v>12</v>
      </c>
      <c r="B378" t="s">
        <v>116</v>
      </c>
      <c r="C378" t="s">
        <v>198</v>
      </c>
      <c r="D378">
        <v>20427</v>
      </c>
      <c r="I378">
        <v>1675</v>
      </c>
    </row>
    <row r="379" spans="1:12" x14ac:dyDescent="0.2">
      <c r="A379" t="s">
        <v>12</v>
      </c>
      <c r="B379" t="s">
        <v>114</v>
      </c>
      <c r="C379" t="s">
        <v>195</v>
      </c>
      <c r="D379">
        <v>224641</v>
      </c>
      <c r="E379">
        <v>222293</v>
      </c>
      <c r="F379">
        <v>222257</v>
      </c>
      <c r="G379">
        <v>222193</v>
      </c>
      <c r="I379">
        <v>50177</v>
      </c>
      <c r="J379">
        <v>100363</v>
      </c>
      <c r="K379">
        <v>125641</v>
      </c>
      <c r="L379">
        <v>135436</v>
      </c>
    </row>
    <row r="380" spans="1:12" x14ac:dyDescent="0.2">
      <c r="A380" t="s">
        <v>12</v>
      </c>
      <c r="B380" t="s">
        <v>114</v>
      </c>
      <c r="C380" t="s">
        <v>196</v>
      </c>
      <c r="D380">
        <v>212711</v>
      </c>
      <c r="E380">
        <v>212486</v>
      </c>
      <c r="F380">
        <v>211996</v>
      </c>
      <c r="I380">
        <v>61240</v>
      </c>
      <c r="J380">
        <v>98050</v>
      </c>
      <c r="K380">
        <v>113995</v>
      </c>
    </row>
    <row r="381" spans="1:12" x14ac:dyDescent="0.2">
      <c r="A381" t="s">
        <v>12</v>
      </c>
      <c r="B381" t="s">
        <v>114</v>
      </c>
      <c r="C381" t="s">
        <v>197</v>
      </c>
      <c r="D381">
        <v>226470</v>
      </c>
      <c r="E381">
        <v>225776</v>
      </c>
      <c r="I381">
        <v>44048</v>
      </c>
      <c r="J381">
        <v>83355</v>
      </c>
    </row>
    <row r="382" spans="1:12" x14ac:dyDescent="0.2">
      <c r="A382" t="s">
        <v>12</v>
      </c>
      <c r="B382" t="s">
        <v>114</v>
      </c>
      <c r="C382" t="s">
        <v>198</v>
      </c>
      <c r="D382">
        <v>220154</v>
      </c>
      <c r="I382">
        <v>43047</v>
      </c>
    </row>
    <row r="383" spans="1:12" x14ac:dyDescent="0.2">
      <c r="A383" t="s">
        <v>12</v>
      </c>
      <c r="B383" t="s">
        <v>111</v>
      </c>
      <c r="C383" t="s">
        <v>195</v>
      </c>
      <c r="D383">
        <v>263207</v>
      </c>
      <c r="E383">
        <v>262115</v>
      </c>
      <c r="F383">
        <v>262115</v>
      </c>
      <c r="G383">
        <v>262115</v>
      </c>
      <c r="I383">
        <v>263097</v>
      </c>
      <c r="J383">
        <v>262146</v>
      </c>
      <c r="K383">
        <v>262146</v>
      </c>
      <c r="L383">
        <v>262146</v>
      </c>
    </row>
    <row r="384" spans="1:12" x14ac:dyDescent="0.2">
      <c r="A384" t="s">
        <v>12</v>
      </c>
      <c r="B384" t="s">
        <v>111</v>
      </c>
      <c r="C384" t="s">
        <v>196</v>
      </c>
      <c r="D384">
        <v>403121</v>
      </c>
      <c r="E384">
        <v>402651</v>
      </c>
      <c r="F384">
        <v>402651</v>
      </c>
      <c r="I384">
        <v>402573</v>
      </c>
      <c r="J384">
        <v>402593</v>
      </c>
      <c r="K384">
        <v>402605</v>
      </c>
    </row>
    <row r="385" spans="1:12" x14ac:dyDescent="0.2">
      <c r="A385" t="s">
        <v>12</v>
      </c>
      <c r="B385" t="s">
        <v>111</v>
      </c>
      <c r="C385" t="s">
        <v>197</v>
      </c>
      <c r="D385">
        <v>380381</v>
      </c>
      <c r="E385">
        <v>380381</v>
      </c>
      <c r="I385">
        <v>356789</v>
      </c>
      <c r="J385">
        <v>380242</v>
      </c>
    </row>
    <row r="386" spans="1:12" x14ac:dyDescent="0.2">
      <c r="A386" t="s">
        <v>12</v>
      </c>
      <c r="B386" t="s">
        <v>111</v>
      </c>
      <c r="C386" t="s">
        <v>198</v>
      </c>
      <c r="D386">
        <v>346319</v>
      </c>
      <c r="I386">
        <v>346213</v>
      </c>
    </row>
    <row r="387" spans="1:12" x14ac:dyDescent="0.2">
      <c r="A387" t="s">
        <v>12</v>
      </c>
      <c r="B387" t="s">
        <v>112</v>
      </c>
      <c r="C387" t="s">
        <v>195</v>
      </c>
      <c r="D387">
        <v>154257</v>
      </c>
      <c r="E387">
        <v>154257</v>
      </c>
      <c r="F387">
        <v>154257</v>
      </c>
      <c r="G387">
        <v>154257</v>
      </c>
      <c r="I387">
        <v>154256</v>
      </c>
      <c r="J387">
        <v>154256</v>
      </c>
      <c r="K387">
        <v>154256</v>
      </c>
      <c r="L387">
        <v>154256</v>
      </c>
    </row>
    <row r="388" spans="1:12" x14ac:dyDescent="0.2">
      <c r="A388" t="s">
        <v>12</v>
      </c>
      <c r="B388" t="s">
        <v>112</v>
      </c>
      <c r="C388" t="s">
        <v>196</v>
      </c>
      <c r="D388">
        <v>190931</v>
      </c>
      <c r="E388">
        <v>190574</v>
      </c>
      <c r="F388">
        <v>190574</v>
      </c>
      <c r="I388">
        <v>190723</v>
      </c>
      <c r="J388">
        <v>190369</v>
      </c>
      <c r="K388">
        <v>190369</v>
      </c>
    </row>
    <row r="389" spans="1:12" x14ac:dyDescent="0.2">
      <c r="A389" t="s">
        <v>12</v>
      </c>
      <c r="B389" t="s">
        <v>112</v>
      </c>
      <c r="C389" t="s">
        <v>197</v>
      </c>
      <c r="D389">
        <v>199144</v>
      </c>
      <c r="E389">
        <v>198863</v>
      </c>
      <c r="I389">
        <v>199138</v>
      </c>
      <c r="J389">
        <v>198857</v>
      </c>
    </row>
    <row r="390" spans="1:12" x14ac:dyDescent="0.2">
      <c r="A390" t="s">
        <v>12</v>
      </c>
      <c r="B390" t="s">
        <v>112</v>
      </c>
      <c r="C390" t="s">
        <v>198</v>
      </c>
      <c r="D390">
        <v>176178</v>
      </c>
      <c r="I390">
        <v>176178</v>
      </c>
    </row>
    <row r="391" spans="1:12" x14ac:dyDescent="0.2">
      <c r="A391" t="s">
        <v>12</v>
      </c>
      <c r="B391" t="s">
        <v>115</v>
      </c>
      <c r="C391" t="s">
        <v>195</v>
      </c>
      <c r="D391">
        <v>1113897</v>
      </c>
      <c r="E391">
        <v>989294</v>
      </c>
      <c r="F391">
        <v>945696</v>
      </c>
      <c r="G391">
        <v>933650</v>
      </c>
      <c r="I391">
        <v>324347</v>
      </c>
      <c r="J391">
        <v>764215</v>
      </c>
      <c r="K391">
        <v>822564</v>
      </c>
      <c r="L391">
        <v>842654</v>
      </c>
    </row>
    <row r="392" spans="1:12" x14ac:dyDescent="0.2">
      <c r="A392" t="s">
        <v>12</v>
      </c>
      <c r="B392" t="s">
        <v>115</v>
      </c>
      <c r="C392" t="s">
        <v>196</v>
      </c>
      <c r="D392">
        <v>1221885</v>
      </c>
      <c r="E392">
        <v>1100833</v>
      </c>
      <c r="F392">
        <v>1049305</v>
      </c>
      <c r="I392">
        <v>383686</v>
      </c>
      <c r="J392">
        <v>810925</v>
      </c>
      <c r="K392">
        <v>886139</v>
      </c>
    </row>
    <row r="393" spans="1:12" x14ac:dyDescent="0.2">
      <c r="A393" t="s">
        <v>12</v>
      </c>
      <c r="B393" t="s">
        <v>115</v>
      </c>
      <c r="C393" t="s">
        <v>197</v>
      </c>
      <c r="D393">
        <v>1153738</v>
      </c>
      <c r="E393">
        <v>1058431</v>
      </c>
      <c r="I393">
        <v>344494</v>
      </c>
      <c r="J393">
        <v>743500</v>
      </c>
    </row>
    <row r="394" spans="1:12" x14ac:dyDescent="0.2">
      <c r="A394" t="s">
        <v>12</v>
      </c>
      <c r="B394" t="s">
        <v>115</v>
      </c>
      <c r="C394" t="s">
        <v>198</v>
      </c>
      <c r="D394">
        <v>1089123</v>
      </c>
      <c r="I394">
        <v>309208</v>
      </c>
    </row>
    <row r="395" spans="1:12" x14ac:dyDescent="0.2">
      <c r="A395" t="s">
        <v>12</v>
      </c>
      <c r="B395" t="s">
        <v>113</v>
      </c>
      <c r="C395" t="s">
        <v>195</v>
      </c>
      <c r="D395">
        <v>32074</v>
      </c>
      <c r="E395">
        <v>32074</v>
      </c>
      <c r="F395">
        <v>32074</v>
      </c>
      <c r="G395">
        <v>32074</v>
      </c>
      <c r="I395">
        <v>32074</v>
      </c>
      <c r="J395">
        <v>32074</v>
      </c>
      <c r="K395">
        <v>32074</v>
      </c>
      <c r="L395">
        <v>32074</v>
      </c>
    </row>
    <row r="396" spans="1:12" x14ac:dyDescent="0.2">
      <c r="A396" t="s">
        <v>12</v>
      </c>
      <c r="B396" t="s">
        <v>113</v>
      </c>
      <c r="C396" t="s">
        <v>196</v>
      </c>
      <c r="D396">
        <v>49346</v>
      </c>
      <c r="E396">
        <v>49346</v>
      </c>
      <c r="F396">
        <v>49346</v>
      </c>
      <c r="I396">
        <v>49345</v>
      </c>
      <c r="J396">
        <v>49345</v>
      </c>
      <c r="K396">
        <v>49345</v>
      </c>
    </row>
    <row r="397" spans="1:12" x14ac:dyDescent="0.2">
      <c r="A397" t="s">
        <v>12</v>
      </c>
      <c r="B397" t="s">
        <v>113</v>
      </c>
      <c r="C397" t="s">
        <v>197</v>
      </c>
      <c r="D397">
        <v>37096</v>
      </c>
      <c r="E397">
        <v>36751</v>
      </c>
      <c r="I397">
        <v>37093</v>
      </c>
      <c r="J397">
        <v>36749</v>
      </c>
    </row>
    <row r="398" spans="1:12" x14ac:dyDescent="0.2">
      <c r="A398" t="s">
        <v>12</v>
      </c>
      <c r="B398" t="s">
        <v>113</v>
      </c>
      <c r="C398" t="s">
        <v>198</v>
      </c>
      <c r="D398">
        <v>39961</v>
      </c>
      <c r="I398">
        <v>39959</v>
      </c>
    </row>
    <row r="399" spans="1:12" x14ac:dyDescent="0.2">
      <c r="A399" t="s">
        <v>12</v>
      </c>
      <c r="B399" t="s">
        <v>72</v>
      </c>
      <c r="C399" t="s">
        <v>195</v>
      </c>
      <c r="D399">
        <v>102368</v>
      </c>
      <c r="E399">
        <v>101232</v>
      </c>
      <c r="F399">
        <v>101232</v>
      </c>
      <c r="G399">
        <v>101232</v>
      </c>
      <c r="I399">
        <v>100833</v>
      </c>
      <c r="J399">
        <v>100105</v>
      </c>
      <c r="K399">
        <v>100105</v>
      </c>
      <c r="L399">
        <v>100105</v>
      </c>
    </row>
    <row r="400" spans="1:12" x14ac:dyDescent="0.2">
      <c r="A400" t="s">
        <v>12</v>
      </c>
      <c r="B400" t="s">
        <v>72</v>
      </c>
      <c r="C400" t="s">
        <v>196</v>
      </c>
      <c r="D400">
        <v>135456</v>
      </c>
      <c r="E400">
        <v>134555</v>
      </c>
      <c r="F400">
        <v>134555</v>
      </c>
      <c r="I400">
        <v>134555</v>
      </c>
      <c r="J400">
        <v>134555</v>
      </c>
      <c r="K400">
        <v>134555</v>
      </c>
    </row>
    <row r="401" spans="1:12" x14ac:dyDescent="0.2">
      <c r="A401" t="s">
        <v>12</v>
      </c>
      <c r="B401" t="s">
        <v>72</v>
      </c>
      <c r="C401" t="s">
        <v>197</v>
      </c>
      <c r="D401">
        <v>134771</v>
      </c>
      <c r="E401">
        <v>134461</v>
      </c>
      <c r="I401">
        <v>131631</v>
      </c>
      <c r="J401">
        <v>131631</v>
      </c>
    </row>
    <row r="402" spans="1:12" x14ac:dyDescent="0.2">
      <c r="A402" t="s">
        <v>12</v>
      </c>
      <c r="B402" t="s">
        <v>72</v>
      </c>
      <c r="C402" t="s">
        <v>198</v>
      </c>
      <c r="D402">
        <v>114687</v>
      </c>
      <c r="I402">
        <v>114229</v>
      </c>
    </row>
    <row r="403" spans="1:12" x14ac:dyDescent="0.2">
      <c r="A403" t="s">
        <v>13</v>
      </c>
      <c r="B403" t="s">
        <v>109</v>
      </c>
      <c r="C403" t="s">
        <v>195</v>
      </c>
      <c r="D403">
        <v>337680.21</v>
      </c>
      <c r="E403">
        <v>341077.21</v>
      </c>
      <c r="F403">
        <v>330179.49</v>
      </c>
      <c r="G403">
        <v>329579.49</v>
      </c>
      <c r="I403">
        <v>28009.56</v>
      </c>
      <c r="J403">
        <v>43827.7</v>
      </c>
      <c r="K403">
        <v>52317.97</v>
      </c>
      <c r="L403">
        <v>58092.480000000003</v>
      </c>
    </row>
    <row r="404" spans="1:12" x14ac:dyDescent="0.2">
      <c r="A404" t="s">
        <v>13</v>
      </c>
      <c r="B404" t="s">
        <v>109</v>
      </c>
      <c r="C404" t="s">
        <v>196</v>
      </c>
      <c r="D404">
        <v>459309.56</v>
      </c>
      <c r="E404">
        <v>455893.89</v>
      </c>
      <c r="F404">
        <v>454893.89</v>
      </c>
      <c r="I404">
        <v>65318.45</v>
      </c>
      <c r="J404">
        <v>75435.11</v>
      </c>
      <c r="K404">
        <v>85372.57</v>
      </c>
    </row>
    <row r="405" spans="1:12" x14ac:dyDescent="0.2">
      <c r="A405" t="s">
        <v>13</v>
      </c>
      <c r="B405" t="s">
        <v>109</v>
      </c>
      <c r="C405" t="s">
        <v>197</v>
      </c>
      <c r="D405">
        <v>8417677.5999999996</v>
      </c>
      <c r="E405">
        <v>8411577.5999999996</v>
      </c>
      <c r="I405">
        <v>102515.47</v>
      </c>
      <c r="J405">
        <v>105152.56</v>
      </c>
    </row>
    <row r="406" spans="1:12" x14ac:dyDescent="0.2">
      <c r="A406" t="s">
        <v>13</v>
      </c>
      <c r="B406" t="s">
        <v>109</v>
      </c>
      <c r="C406" t="s">
        <v>198</v>
      </c>
      <c r="D406">
        <v>289771.27</v>
      </c>
      <c r="I406">
        <v>25925.1</v>
      </c>
    </row>
    <row r="407" spans="1:12" x14ac:dyDescent="0.2">
      <c r="A407" t="s">
        <v>13</v>
      </c>
      <c r="B407" t="s">
        <v>145</v>
      </c>
      <c r="C407" t="s">
        <v>195</v>
      </c>
      <c r="D407">
        <v>107023.82</v>
      </c>
      <c r="E407">
        <v>106973.82</v>
      </c>
      <c r="F407">
        <v>96980.83</v>
      </c>
      <c r="G407">
        <v>96980.83</v>
      </c>
      <c r="I407">
        <v>13.82</v>
      </c>
      <c r="J407">
        <v>109.08</v>
      </c>
      <c r="K407">
        <v>122.16</v>
      </c>
      <c r="L407">
        <v>172.09</v>
      </c>
    </row>
    <row r="408" spans="1:12" x14ac:dyDescent="0.2">
      <c r="A408" t="s">
        <v>13</v>
      </c>
      <c r="B408" t="s">
        <v>145</v>
      </c>
      <c r="C408" t="s">
        <v>196</v>
      </c>
      <c r="D408">
        <v>161987.65</v>
      </c>
      <c r="E408">
        <v>161987.65</v>
      </c>
      <c r="F408">
        <v>161887.65</v>
      </c>
      <c r="I408">
        <v>406.72</v>
      </c>
      <c r="J408">
        <v>406.72</v>
      </c>
      <c r="K408">
        <v>406.72</v>
      </c>
    </row>
    <row r="409" spans="1:12" x14ac:dyDescent="0.2">
      <c r="A409" t="s">
        <v>13</v>
      </c>
      <c r="B409" t="s">
        <v>145</v>
      </c>
      <c r="C409" t="s">
        <v>197</v>
      </c>
      <c r="D409">
        <v>8091995</v>
      </c>
      <c r="E409">
        <v>8091995</v>
      </c>
      <c r="I409">
        <v>297.52999999999997</v>
      </c>
      <c r="J409">
        <v>576.87</v>
      </c>
    </row>
    <row r="410" spans="1:12" x14ac:dyDescent="0.2">
      <c r="A410" t="s">
        <v>13</v>
      </c>
      <c r="B410" t="s">
        <v>145</v>
      </c>
      <c r="C410" t="s">
        <v>198</v>
      </c>
      <c r="D410">
        <v>53367</v>
      </c>
      <c r="I410">
        <v>102</v>
      </c>
    </row>
    <row r="411" spans="1:12" x14ac:dyDescent="0.2">
      <c r="A411" t="s">
        <v>13</v>
      </c>
      <c r="B411" t="s">
        <v>110</v>
      </c>
      <c r="C411" t="s">
        <v>195</v>
      </c>
      <c r="D411">
        <v>232229.02</v>
      </c>
      <c r="E411">
        <v>230708.21</v>
      </c>
      <c r="F411">
        <v>229689.1</v>
      </c>
      <c r="G411">
        <v>228457.86</v>
      </c>
      <c r="I411">
        <v>73860.009999999995</v>
      </c>
      <c r="J411">
        <v>101953.55</v>
      </c>
      <c r="K411">
        <v>119036.18</v>
      </c>
      <c r="L411">
        <v>125182.36</v>
      </c>
    </row>
    <row r="412" spans="1:12" x14ac:dyDescent="0.2">
      <c r="A412" t="s">
        <v>13</v>
      </c>
      <c r="B412" t="s">
        <v>110</v>
      </c>
      <c r="C412" t="s">
        <v>196</v>
      </c>
      <c r="D412">
        <v>260152.24</v>
      </c>
      <c r="E412">
        <v>258363.65</v>
      </c>
      <c r="F412">
        <v>257188.65</v>
      </c>
      <c r="I412">
        <v>110852.97</v>
      </c>
      <c r="J412">
        <v>135082.95000000001</v>
      </c>
      <c r="K412">
        <v>145826.22</v>
      </c>
    </row>
    <row r="413" spans="1:12" x14ac:dyDescent="0.2">
      <c r="A413" t="s">
        <v>13</v>
      </c>
      <c r="B413" t="s">
        <v>110</v>
      </c>
      <c r="C413" t="s">
        <v>197</v>
      </c>
      <c r="D413">
        <v>273753.51</v>
      </c>
      <c r="E413">
        <v>272711.15000000002</v>
      </c>
      <c r="I413">
        <v>105985.65</v>
      </c>
      <c r="J413">
        <v>123306.75</v>
      </c>
    </row>
    <row r="414" spans="1:12" x14ac:dyDescent="0.2">
      <c r="A414" t="s">
        <v>13</v>
      </c>
      <c r="B414" t="s">
        <v>110</v>
      </c>
      <c r="C414" t="s">
        <v>198</v>
      </c>
      <c r="D414">
        <v>225870.5</v>
      </c>
      <c r="I414">
        <v>69670.14</v>
      </c>
    </row>
    <row r="415" spans="1:12" x14ac:dyDescent="0.2">
      <c r="A415" t="s">
        <v>13</v>
      </c>
      <c r="B415" t="s">
        <v>116</v>
      </c>
      <c r="C415" t="s">
        <v>195</v>
      </c>
      <c r="D415">
        <v>14434.5</v>
      </c>
      <c r="E415">
        <v>14384.5</v>
      </c>
      <c r="F415">
        <v>14234.5</v>
      </c>
      <c r="G415">
        <v>14234.5</v>
      </c>
      <c r="I415">
        <v>197.61</v>
      </c>
      <c r="J415">
        <v>1437.61</v>
      </c>
      <c r="K415">
        <v>1622.61</v>
      </c>
      <c r="L415">
        <v>2055.5</v>
      </c>
    </row>
    <row r="416" spans="1:12" x14ac:dyDescent="0.2">
      <c r="A416" t="s">
        <v>13</v>
      </c>
      <c r="B416" t="s">
        <v>116</v>
      </c>
      <c r="C416" t="s">
        <v>196</v>
      </c>
      <c r="D416">
        <v>15536.5</v>
      </c>
      <c r="E416">
        <v>15336.5</v>
      </c>
      <c r="F416">
        <v>15286.5</v>
      </c>
      <c r="I416">
        <v>508</v>
      </c>
      <c r="J416">
        <v>881.5</v>
      </c>
      <c r="K416">
        <v>2186.5</v>
      </c>
    </row>
    <row r="417" spans="1:12" x14ac:dyDescent="0.2">
      <c r="A417" t="s">
        <v>13</v>
      </c>
      <c r="B417" t="s">
        <v>116</v>
      </c>
      <c r="C417" t="s">
        <v>197</v>
      </c>
      <c r="D417">
        <v>19314</v>
      </c>
      <c r="E417">
        <v>18949</v>
      </c>
      <c r="I417">
        <v>785.81</v>
      </c>
      <c r="J417">
        <v>2383.83</v>
      </c>
    </row>
    <row r="418" spans="1:12" x14ac:dyDescent="0.2">
      <c r="A418" t="s">
        <v>13</v>
      </c>
      <c r="B418" t="s">
        <v>116</v>
      </c>
      <c r="C418" t="s">
        <v>198</v>
      </c>
      <c r="D418">
        <v>20495</v>
      </c>
      <c r="I418">
        <v>1739.75</v>
      </c>
    </row>
    <row r="419" spans="1:12" x14ac:dyDescent="0.2">
      <c r="A419" t="s">
        <v>13</v>
      </c>
      <c r="B419" t="s">
        <v>114</v>
      </c>
      <c r="C419" t="s">
        <v>195</v>
      </c>
      <c r="D419">
        <v>488635.41</v>
      </c>
      <c r="E419">
        <v>487317.94</v>
      </c>
      <c r="F419">
        <v>483847.65</v>
      </c>
      <c r="G419">
        <v>480882.15</v>
      </c>
      <c r="I419">
        <v>174472.9</v>
      </c>
      <c r="J419">
        <v>254483.58</v>
      </c>
      <c r="K419">
        <v>302986.87</v>
      </c>
      <c r="L419">
        <v>343179.14</v>
      </c>
    </row>
    <row r="420" spans="1:12" x14ac:dyDescent="0.2">
      <c r="A420" t="s">
        <v>13</v>
      </c>
      <c r="B420" t="s">
        <v>114</v>
      </c>
      <c r="C420" t="s">
        <v>196</v>
      </c>
      <c r="D420">
        <v>528468.28</v>
      </c>
      <c r="E420">
        <v>525387.78</v>
      </c>
      <c r="F420">
        <v>524997.78</v>
      </c>
      <c r="I420">
        <v>190448.46</v>
      </c>
      <c r="J420">
        <v>254659.56</v>
      </c>
      <c r="K420">
        <v>289850.63</v>
      </c>
    </row>
    <row r="421" spans="1:12" x14ac:dyDescent="0.2">
      <c r="A421" t="s">
        <v>13</v>
      </c>
      <c r="B421" t="s">
        <v>114</v>
      </c>
      <c r="C421" t="s">
        <v>197</v>
      </c>
      <c r="D421">
        <v>446431.68</v>
      </c>
      <c r="E421">
        <v>446257.68</v>
      </c>
      <c r="I421">
        <v>138082.49</v>
      </c>
      <c r="J421">
        <v>179402.1</v>
      </c>
    </row>
    <row r="422" spans="1:12" x14ac:dyDescent="0.2">
      <c r="A422" t="s">
        <v>13</v>
      </c>
      <c r="B422" t="s">
        <v>114</v>
      </c>
      <c r="C422" t="s">
        <v>198</v>
      </c>
      <c r="D422">
        <v>380763.14</v>
      </c>
      <c r="I422">
        <v>111414.06</v>
      </c>
    </row>
    <row r="423" spans="1:12" x14ac:dyDescent="0.2">
      <c r="A423" t="s">
        <v>13</v>
      </c>
      <c r="B423" t="s">
        <v>111</v>
      </c>
      <c r="C423" t="s">
        <v>195</v>
      </c>
      <c r="D423">
        <v>1515506.17</v>
      </c>
      <c r="E423">
        <v>1513226.17</v>
      </c>
      <c r="F423">
        <v>1513154.17</v>
      </c>
      <c r="G423">
        <v>1510681.67</v>
      </c>
      <c r="I423">
        <v>1500071.12</v>
      </c>
      <c r="J423">
        <v>1503806.09</v>
      </c>
      <c r="K423">
        <v>1504769.75</v>
      </c>
      <c r="L423">
        <v>1502601.77</v>
      </c>
    </row>
    <row r="424" spans="1:12" x14ac:dyDescent="0.2">
      <c r="A424" t="s">
        <v>13</v>
      </c>
      <c r="B424" t="s">
        <v>111</v>
      </c>
      <c r="C424" t="s">
        <v>196</v>
      </c>
      <c r="D424">
        <v>1418896.96</v>
      </c>
      <c r="E424">
        <v>1418151.96</v>
      </c>
      <c r="F424">
        <v>1417039.46</v>
      </c>
      <c r="I424">
        <v>1403420.28</v>
      </c>
      <c r="J424">
        <v>1409425.18</v>
      </c>
      <c r="K424">
        <v>1409508.75</v>
      </c>
    </row>
    <row r="425" spans="1:12" x14ac:dyDescent="0.2">
      <c r="A425" t="s">
        <v>13</v>
      </c>
      <c r="B425" t="s">
        <v>111</v>
      </c>
      <c r="C425" t="s">
        <v>197</v>
      </c>
      <c r="D425">
        <v>865443.32</v>
      </c>
      <c r="E425">
        <v>862855.82</v>
      </c>
      <c r="I425">
        <v>852921.36</v>
      </c>
      <c r="J425">
        <v>858663.32</v>
      </c>
    </row>
    <row r="426" spans="1:12" x14ac:dyDescent="0.2">
      <c r="A426" t="s">
        <v>13</v>
      </c>
      <c r="B426" t="s">
        <v>111</v>
      </c>
      <c r="C426" t="s">
        <v>198</v>
      </c>
      <c r="D426">
        <v>645480.14</v>
      </c>
      <c r="I426">
        <v>626972.98</v>
      </c>
    </row>
    <row r="427" spans="1:12" x14ac:dyDescent="0.2">
      <c r="A427" t="s">
        <v>13</v>
      </c>
      <c r="B427" t="s">
        <v>112</v>
      </c>
      <c r="C427" t="s">
        <v>195</v>
      </c>
      <c r="D427">
        <v>278277.71999999997</v>
      </c>
      <c r="E427">
        <v>277957.71999999997</v>
      </c>
      <c r="F427">
        <v>277937.71999999997</v>
      </c>
      <c r="G427">
        <v>277937.71999999997</v>
      </c>
      <c r="I427">
        <v>275894.18</v>
      </c>
      <c r="J427">
        <v>276223.68</v>
      </c>
      <c r="K427">
        <v>276223.68</v>
      </c>
      <c r="L427">
        <v>276223.68</v>
      </c>
    </row>
    <row r="428" spans="1:12" x14ac:dyDescent="0.2">
      <c r="A428" t="s">
        <v>13</v>
      </c>
      <c r="B428" t="s">
        <v>112</v>
      </c>
      <c r="C428" t="s">
        <v>196</v>
      </c>
      <c r="D428">
        <v>290784.27</v>
      </c>
      <c r="E428">
        <v>290661.27</v>
      </c>
      <c r="F428">
        <v>290306.27</v>
      </c>
      <c r="I428">
        <v>288442.77</v>
      </c>
      <c r="J428">
        <v>289136.77</v>
      </c>
      <c r="K428">
        <v>289169.27</v>
      </c>
    </row>
    <row r="429" spans="1:12" x14ac:dyDescent="0.2">
      <c r="A429" t="s">
        <v>13</v>
      </c>
      <c r="B429" t="s">
        <v>112</v>
      </c>
      <c r="C429" t="s">
        <v>197</v>
      </c>
      <c r="D429">
        <v>317581.96999999997</v>
      </c>
      <c r="E429">
        <v>317030.40999999997</v>
      </c>
      <c r="I429">
        <v>315584.40999999997</v>
      </c>
      <c r="J429">
        <v>315914.40999999997</v>
      </c>
    </row>
    <row r="430" spans="1:12" x14ac:dyDescent="0.2">
      <c r="A430" t="s">
        <v>13</v>
      </c>
      <c r="B430" t="s">
        <v>112</v>
      </c>
      <c r="C430" t="s">
        <v>198</v>
      </c>
      <c r="D430">
        <v>275378.26</v>
      </c>
      <c r="I430">
        <v>274730.71999999997</v>
      </c>
    </row>
    <row r="431" spans="1:12" x14ac:dyDescent="0.2">
      <c r="A431" t="s">
        <v>13</v>
      </c>
      <c r="B431" t="s">
        <v>115</v>
      </c>
      <c r="C431" t="s">
        <v>195</v>
      </c>
      <c r="D431">
        <v>1280100.8500000001</v>
      </c>
      <c r="E431">
        <v>1250588.1000000001</v>
      </c>
      <c r="F431">
        <v>1249571.3600000001</v>
      </c>
      <c r="G431">
        <v>1249162.3600000001</v>
      </c>
      <c r="I431">
        <v>662829.80000000005</v>
      </c>
      <c r="J431">
        <v>1059858.43</v>
      </c>
      <c r="K431">
        <v>1112332.8</v>
      </c>
      <c r="L431">
        <v>1132357.6499999999</v>
      </c>
    </row>
    <row r="432" spans="1:12" x14ac:dyDescent="0.2">
      <c r="A432" t="s">
        <v>13</v>
      </c>
      <c r="B432" t="s">
        <v>115</v>
      </c>
      <c r="C432" t="s">
        <v>196</v>
      </c>
      <c r="D432">
        <v>1334613.55</v>
      </c>
      <c r="E432">
        <v>1297559.29</v>
      </c>
      <c r="F432">
        <v>1296212.77</v>
      </c>
      <c r="I432">
        <v>804882.32</v>
      </c>
      <c r="J432">
        <v>1132727.72</v>
      </c>
      <c r="K432">
        <v>1171146.8700000001</v>
      </c>
    </row>
    <row r="433" spans="1:12" x14ac:dyDescent="0.2">
      <c r="A433" t="s">
        <v>13</v>
      </c>
      <c r="B433" t="s">
        <v>115</v>
      </c>
      <c r="C433" t="s">
        <v>197</v>
      </c>
      <c r="D433">
        <v>1421882.61</v>
      </c>
      <c r="E433">
        <v>1380195.67</v>
      </c>
      <c r="I433">
        <v>762500.31</v>
      </c>
      <c r="J433">
        <v>1160040.45</v>
      </c>
    </row>
    <row r="434" spans="1:12" x14ac:dyDescent="0.2">
      <c r="A434" t="s">
        <v>13</v>
      </c>
      <c r="B434" t="s">
        <v>115</v>
      </c>
      <c r="C434" t="s">
        <v>198</v>
      </c>
      <c r="D434">
        <v>1383749.68</v>
      </c>
      <c r="I434">
        <v>802681.94</v>
      </c>
    </row>
    <row r="435" spans="1:12" x14ac:dyDescent="0.2">
      <c r="A435" t="s">
        <v>13</v>
      </c>
      <c r="B435" t="s">
        <v>113</v>
      </c>
      <c r="C435" t="s">
        <v>195</v>
      </c>
      <c r="D435">
        <v>154352.4</v>
      </c>
      <c r="E435">
        <v>154352.4</v>
      </c>
      <c r="F435">
        <v>154352.4</v>
      </c>
      <c r="G435">
        <v>154270.39999999999</v>
      </c>
      <c r="I435">
        <v>153767.9</v>
      </c>
      <c r="J435">
        <v>153888.9</v>
      </c>
      <c r="K435">
        <v>153929.9</v>
      </c>
      <c r="L435">
        <v>153929.9</v>
      </c>
    </row>
    <row r="436" spans="1:12" x14ac:dyDescent="0.2">
      <c r="A436" t="s">
        <v>13</v>
      </c>
      <c r="B436" t="s">
        <v>113</v>
      </c>
      <c r="C436" t="s">
        <v>196</v>
      </c>
      <c r="D436">
        <v>177490</v>
      </c>
      <c r="E436">
        <v>166700.5</v>
      </c>
      <c r="F436">
        <v>166450.5</v>
      </c>
      <c r="I436">
        <v>165475.5</v>
      </c>
      <c r="J436">
        <v>166230.5</v>
      </c>
      <c r="K436">
        <v>166230.5</v>
      </c>
    </row>
    <row r="437" spans="1:12" x14ac:dyDescent="0.2">
      <c r="A437" t="s">
        <v>13</v>
      </c>
      <c r="B437" t="s">
        <v>113</v>
      </c>
      <c r="C437" t="s">
        <v>197</v>
      </c>
      <c r="D437">
        <v>169081.5</v>
      </c>
      <c r="E437">
        <v>169041.5</v>
      </c>
      <c r="I437">
        <v>168627</v>
      </c>
      <c r="J437">
        <v>169021.5</v>
      </c>
    </row>
    <row r="438" spans="1:12" x14ac:dyDescent="0.2">
      <c r="A438" t="s">
        <v>13</v>
      </c>
      <c r="B438" t="s">
        <v>113</v>
      </c>
      <c r="C438" t="s">
        <v>198</v>
      </c>
      <c r="D438">
        <v>127730</v>
      </c>
      <c r="I438">
        <v>127208</v>
      </c>
    </row>
    <row r="439" spans="1:12" x14ac:dyDescent="0.2">
      <c r="A439" t="s">
        <v>13</v>
      </c>
      <c r="B439" t="s">
        <v>72</v>
      </c>
      <c r="C439" t="s">
        <v>195</v>
      </c>
      <c r="D439">
        <v>168712.08</v>
      </c>
      <c r="E439">
        <v>168442.08</v>
      </c>
      <c r="F439">
        <v>168121.9</v>
      </c>
      <c r="G439">
        <v>167511.9</v>
      </c>
      <c r="I439">
        <v>159100.54</v>
      </c>
      <c r="J439">
        <v>160599.4</v>
      </c>
      <c r="K439">
        <v>160719.4</v>
      </c>
      <c r="L439">
        <v>161179.1</v>
      </c>
    </row>
    <row r="440" spans="1:12" x14ac:dyDescent="0.2">
      <c r="A440" t="s">
        <v>13</v>
      </c>
      <c r="B440" t="s">
        <v>72</v>
      </c>
      <c r="C440" t="s">
        <v>196</v>
      </c>
      <c r="D440">
        <v>184050.5</v>
      </c>
      <c r="E440">
        <v>182233.44</v>
      </c>
      <c r="F440">
        <v>181247.44</v>
      </c>
      <c r="I440">
        <v>170067.81</v>
      </c>
      <c r="J440">
        <v>170602.81</v>
      </c>
      <c r="K440">
        <v>170883.75</v>
      </c>
    </row>
    <row r="441" spans="1:12" x14ac:dyDescent="0.2">
      <c r="A441" t="s">
        <v>13</v>
      </c>
      <c r="B441" t="s">
        <v>72</v>
      </c>
      <c r="C441" t="s">
        <v>197</v>
      </c>
      <c r="D441">
        <v>192955.56</v>
      </c>
      <c r="E441">
        <v>189087.06</v>
      </c>
      <c r="I441">
        <v>178101</v>
      </c>
      <c r="J441">
        <v>179162.54</v>
      </c>
    </row>
    <row r="442" spans="1:12" x14ac:dyDescent="0.2">
      <c r="A442" t="s">
        <v>13</v>
      </c>
      <c r="B442" t="s">
        <v>72</v>
      </c>
      <c r="C442" t="s">
        <v>198</v>
      </c>
      <c r="D442">
        <v>140694.57999999999</v>
      </c>
      <c r="I442">
        <v>134585.78</v>
      </c>
    </row>
    <row r="443" spans="1:12" x14ac:dyDescent="0.2">
      <c r="A443" t="s">
        <v>14</v>
      </c>
      <c r="B443" t="s">
        <v>109</v>
      </c>
      <c r="C443" t="s">
        <v>195</v>
      </c>
      <c r="D443">
        <v>273901.5</v>
      </c>
      <c r="E443">
        <v>273851.5</v>
      </c>
      <c r="F443">
        <v>273133.5</v>
      </c>
      <c r="G443">
        <v>273038.5</v>
      </c>
      <c r="I443">
        <v>2177.85</v>
      </c>
      <c r="J443">
        <v>8344.14</v>
      </c>
      <c r="K443">
        <v>13163.97</v>
      </c>
      <c r="L443">
        <v>17262.64</v>
      </c>
    </row>
    <row r="444" spans="1:12" x14ac:dyDescent="0.2">
      <c r="A444" t="s">
        <v>14</v>
      </c>
      <c r="B444" t="s">
        <v>109</v>
      </c>
      <c r="C444" t="s">
        <v>196</v>
      </c>
      <c r="D444">
        <v>436874.96</v>
      </c>
      <c r="E444">
        <v>436556.96</v>
      </c>
      <c r="F444">
        <v>436506.96</v>
      </c>
      <c r="I444">
        <v>3543.12</v>
      </c>
      <c r="J444">
        <v>8923.06</v>
      </c>
      <c r="K444">
        <v>13206.91</v>
      </c>
    </row>
    <row r="445" spans="1:12" x14ac:dyDescent="0.2">
      <c r="A445" t="s">
        <v>14</v>
      </c>
      <c r="B445" t="s">
        <v>109</v>
      </c>
      <c r="C445" t="s">
        <v>197</v>
      </c>
      <c r="D445">
        <v>379184.13</v>
      </c>
      <c r="E445">
        <v>379184.13</v>
      </c>
      <c r="I445">
        <v>3560.95</v>
      </c>
      <c r="J445">
        <v>9371.59</v>
      </c>
    </row>
    <row r="446" spans="1:12" x14ac:dyDescent="0.2">
      <c r="A446" t="s">
        <v>14</v>
      </c>
      <c r="B446" t="s">
        <v>109</v>
      </c>
      <c r="C446" t="s">
        <v>198</v>
      </c>
      <c r="D446">
        <v>622046.9</v>
      </c>
      <c r="I446">
        <v>3002.1</v>
      </c>
    </row>
    <row r="447" spans="1:12" x14ac:dyDescent="0.2">
      <c r="A447" t="s">
        <v>14</v>
      </c>
      <c r="B447" t="s">
        <v>145</v>
      </c>
      <c r="C447" t="s">
        <v>195</v>
      </c>
      <c r="D447">
        <v>107254</v>
      </c>
      <c r="E447">
        <v>107254</v>
      </c>
      <c r="F447">
        <v>107354</v>
      </c>
      <c r="G447">
        <v>107354</v>
      </c>
      <c r="I447">
        <v>0</v>
      </c>
      <c r="J447">
        <v>0</v>
      </c>
      <c r="K447">
        <v>0</v>
      </c>
      <c r="L447">
        <v>0</v>
      </c>
    </row>
    <row r="448" spans="1:12" x14ac:dyDescent="0.2">
      <c r="A448" t="s">
        <v>14</v>
      </c>
      <c r="B448" t="s">
        <v>145</v>
      </c>
      <c r="C448" t="s">
        <v>196</v>
      </c>
      <c r="D448">
        <v>265904</v>
      </c>
      <c r="E448">
        <v>265904</v>
      </c>
      <c r="F448">
        <v>265904</v>
      </c>
      <c r="I448">
        <v>0</v>
      </c>
      <c r="J448">
        <v>0</v>
      </c>
      <c r="K448">
        <v>0</v>
      </c>
    </row>
    <row r="449" spans="1:12" x14ac:dyDescent="0.2">
      <c r="A449" t="s">
        <v>14</v>
      </c>
      <c r="B449" t="s">
        <v>145</v>
      </c>
      <c r="C449" t="s">
        <v>197</v>
      </c>
      <c r="D449">
        <v>159386</v>
      </c>
      <c r="E449">
        <v>159386</v>
      </c>
      <c r="I449">
        <v>0</v>
      </c>
      <c r="J449">
        <v>0</v>
      </c>
    </row>
    <row r="450" spans="1:12" x14ac:dyDescent="0.2">
      <c r="A450" t="s">
        <v>14</v>
      </c>
      <c r="B450" t="s">
        <v>145</v>
      </c>
      <c r="C450" t="s">
        <v>198</v>
      </c>
      <c r="D450">
        <v>475090</v>
      </c>
      <c r="I450">
        <v>0</v>
      </c>
    </row>
    <row r="451" spans="1:12" x14ac:dyDescent="0.2">
      <c r="A451" t="s">
        <v>14</v>
      </c>
      <c r="B451" t="s">
        <v>110</v>
      </c>
      <c r="C451" t="s">
        <v>195</v>
      </c>
      <c r="D451">
        <v>85510.25</v>
      </c>
      <c r="E451">
        <v>85510.25</v>
      </c>
      <c r="F451">
        <v>85410.25</v>
      </c>
      <c r="G451">
        <v>85360.25</v>
      </c>
      <c r="I451">
        <v>11955</v>
      </c>
      <c r="J451">
        <v>17223</v>
      </c>
      <c r="K451">
        <v>25168.25</v>
      </c>
      <c r="L451">
        <v>35006.75</v>
      </c>
    </row>
    <row r="452" spans="1:12" x14ac:dyDescent="0.2">
      <c r="A452" t="s">
        <v>14</v>
      </c>
      <c r="B452" t="s">
        <v>110</v>
      </c>
      <c r="C452" t="s">
        <v>196</v>
      </c>
      <c r="D452">
        <v>77464</v>
      </c>
      <c r="E452">
        <v>77242</v>
      </c>
      <c r="F452">
        <v>77137</v>
      </c>
      <c r="I452">
        <v>10553.5</v>
      </c>
      <c r="J452">
        <v>15411</v>
      </c>
      <c r="K452">
        <v>22604.5</v>
      </c>
    </row>
    <row r="453" spans="1:12" x14ac:dyDescent="0.2">
      <c r="A453" t="s">
        <v>14</v>
      </c>
      <c r="B453" t="s">
        <v>110</v>
      </c>
      <c r="C453" t="s">
        <v>197</v>
      </c>
      <c r="D453">
        <v>77889.600000000006</v>
      </c>
      <c r="E453">
        <v>77889.600000000006</v>
      </c>
      <c r="I453">
        <v>13400.1</v>
      </c>
      <c r="J453">
        <v>24048.1</v>
      </c>
    </row>
    <row r="454" spans="1:12" x14ac:dyDescent="0.2">
      <c r="A454" t="s">
        <v>14</v>
      </c>
      <c r="B454" t="s">
        <v>110</v>
      </c>
      <c r="C454" t="s">
        <v>198</v>
      </c>
      <c r="D454">
        <v>75384.5</v>
      </c>
      <c r="I454">
        <v>13841</v>
      </c>
    </row>
    <row r="455" spans="1:12" x14ac:dyDescent="0.2">
      <c r="A455" t="s">
        <v>14</v>
      </c>
      <c r="B455" t="s">
        <v>116</v>
      </c>
      <c r="C455" t="s">
        <v>195</v>
      </c>
      <c r="D455">
        <v>150</v>
      </c>
      <c r="E455">
        <v>150</v>
      </c>
      <c r="F455">
        <v>100</v>
      </c>
      <c r="G455">
        <v>100</v>
      </c>
      <c r="I455">
        <v>50</v>
      </c>
      <c r="J455">
        <v>50</v>
      </c>
      <c r="K455">
        <v>50</v>
      </c>
      <c r="L455">
        <v>50</v>
      </c>
    </row>
    <row r="456" spans="1:12" x14ac:dyDescent="0.2">
      <c r="A456" t="s">
        <v>14</v>
      </c>
      <c r="B456" t="s">
        <v>116</v>
      </c>
      <c r="C456" t="s">
        <v>196</v>
      </c>
      <c r="D456">
        <v>200</v>
      </c>
      <c r="E456">
        <v>200</v>
      </c>
      <c r="F456">
        <v>200</v>
      </c>
      <c r="I456">
        <v>150</v>
      </c>
      <c r="J456">
        <v>150</v>
      </c>
      <c r="K456">
        <v>150</v>
      </c>
    </row>
    <row r="457" spans="1:12" x14ac:dyDescent="0.2">
      <c r="A457" t="s">
        <v>14</v>
      </c>
      <c r="B457" t="s">
        <v>116</v>
      </c>
      <c r="C457" t="s">
        <v>197</v>
      </c>
      <c r="D457">
        <v>131</v>
      </c>
      <c r="E457">
        <v>131</v>
      </c>
      <c r="I457">
        <v>31</v>
      </c>
      <c r="J457">
        <v>31</v>
      </c>
    </row>
    <row r="458" spans="1:12" x14ac:dyDescent="0.2">
      <c r="A458" t="s">
        <v>14</v>
      </c>
      <c r="B458" t="s">
        <v>116</v>
      </c>
      <c r="C458" t="s">
        <v>198</v>
      </c>
      <c r="D458">
        <v>50</v>
      </c>
      <c r="I458">
        <v>50</v>
      </c>
    </row>
    <row r="459" spans="1:12" x14ac:dyDescent="0.2">
      <c r="A459" t="s">
        <v>14</v>
      </c>
      <c r="B459" t="s">
        <v>114</v>
      </c>
      <c r="C459" t="s">
        <v>195</v>
      </c>
      <c r="D459">
        <v>110980.55</v>
      </c>
      <c r="E459">
        <v>109316.05</v>
      </c>
      <c r="F459">
        <v>107991.55</v>
      </c>
      <c r="G459">
        <v>107991.55</v>
      </c>
      <c r="I459">
        <v>17991.8</v>
      </c>
      <c r="J459">
        <v>27181.8</v>
      </c>
      <c r="K459">
        <v>43663.3</v>
      </c>
      <c r="L459">
        <v>59127.8</v>
      </c>
    </row>
    <row r="460" spans="1:12" x14ac:dyDescent="0.2">
      <c r="A460" t="s">
        <v>14</v>
      </c>
      <c r="B460" t="s">
        <v>114</v>
      </c>
      <c r="C460" t="s">
        <v>196</v>
      </c>
      <c r="D460">
        <v>103751.25</v>
      </c>
      <c r="E460">
        <v>103523.75</v>
      </c>
      <c r="F460">
        <v>102758.95</v>
      </c>
      <c r="I460">
        <v>17634.25</v>
      </c>
      <c r="J460">
        <v>34471.75</v>
      </c>
      <c r="K460">
        <v>45793.25</v>
      </c>
    </row>
    <row r="461" spans="1:12" x14ac:dyDescent="0.2">
      <c r="A461" t="s">
        <v>14</v>
      </c>
      <c r="B461" t="s">
        <v>114</v>
      </c>
      <c r="C461" t="s">
        <v>197</v>
      </c>
      <c r="D461">
        <v>77943.77</v>
      </c>
      <c r="E461">
        <v>77818.77</v>
      </c>
      <c r="I461">
        <v>18824.27</v>
      </c>
      <c r="J461">
        <v>31185.27</v>
      </c>
    </row>
    <row r="462" spans="1:12" x14ac:dyDescent="0.2">
      <c r="A462" t="s">
        <v>14</v>
      </c>
      <c r="B462" t="s">
        <v>114</v>
      </c>
      <c r="C462" t="s">
        <v>198</v>
      </c>
      <c r="D462">
        <v>91144</v>
      </c>
      <c r="I462">
        <v>21262.5</v>
      </c>
    </row>
    <row r="463" spans="1:12" x14ac:dyDescent="0.2">
      <c r="A463" t="s">
        <v>14</v>
      </c>
      <c r="B463" t="s">
        <v>111</v>
      </c>
      <c r="C463" t="s">
        <v>195</v>
      </c>
      <c r="D463">
        <v>74579.520000000004</v>
      </c>
      <c r="E463">
        <v>74579.520000000004</v>
      </c>
      <c r="F463">
        <v>74579.520000000004</v>
      </c>
      <c r="G463">
        <v>74579.520000000004</v>
      </c>
      <c r="I463">
        <v>74577.52</v>
      </c>
      <c r="J463">
        <v>74577.52</v>
      </c>
      <c r="K463">
        <v>74577.52</v>
      </c>
      <c r="L463">
        <v>74577.52</v>
      </c>
    </row>
    <row r="464" spans="1:12" x14ac:dyDescent="0.2">
      <c r="A464" t="s">
        <v>14</v>
      </c>
      <c r="B464" t="s">
        <v>111</v>
      </c>
      <c r="C464" t="s">
        <v>196</v>
      </c>
      <c r="D464">
        <v>72722.5</v>
      </c>
      <c r="E464">
        <v>72722.5</v>
      </c>
      <c r="F464">
        <v>72722.5</v>
      </c>
      <c r="I464">
        <v>70432.5</v>
      </c>
      <c r="J464">
        <v>72322.5</v>
      </c>
      <c r="K464">
        <v>72322.5</v>
      </c>
    </row>
    <row r="465" spans="1:12" x14ac:dyDescent="0.2">
      <c r="A465" t="s">
        <v>14</v>
      </c>
      <c r="B465" t="s">
        <v>111</v>
      </c>
      <c r="C465" t="s">
        <v>197</v>
      </c>
      <c r="D465">
        <v>71281.5</v>
      </c>
      <c r="E465">
        <v>71281.5</v>
      </c>
      <c r="I465">
        <v>68981.5</v>
      </c>
      <c r="J465">
        <v>70881.5</v>
      </c>
    </row>
    <row r="466" spans="1:12" x14ac:dyDescent="0.2">
      <c r="A466" t="s">
        <v>14</v>
      </c>
      <c r="B466" t="s">
        <v>111</v>
      </c>
      <c r="C466" t="s">
        <v>198</v>
      </c>
      <c r="D466">
        <v>65347</v>
      </c>
      <c r="I466">
        <v>64877</v>
      </c>
    </row>
    <row r="467" spans="1:12" x14ac:dyDescent="0.2">
      <c r="A467" t="s">
        <v>14</v>
      </c>
      <c r="B467" t="s">
        <v>112</v>
      </c>
      <c r="C467" t="s">
        <v>195</v>
      </c>
      <c r="D467">
        <v>71083.149999999994</v>
      </c>
      <c r="E467">
        <v>71083.149999999994</v>
      </c>
      <c r="F467">
        <v>71083.149999999994</v>
      </c>
      <c r="G467">
        <v>71083.149999999994</v>
      </c>
      <c r="I467">
        <v>70998.149999999994</v>
      </c>
      <c r="J467">
        <v>71083.149999999994</v>
      </c>
      <c r="K467">
        <v>71083.149999999994</v>
      </c>
      <c r="L467">
        <v>71083.149999999994</v>
      </c>
    </row>
    <row r="468" spans="1:12" x14ac:dyDescent="0.2">
      <c r="A468" t="s">
        <v>14</v>
      </c>
      <c r="B468" t="s">
        <v>112</v>
      </c>
      <c r="C468" t="s">
        <v>196</v>
      </c>
      <c r="D468">
        <v>83498.539999999994</v>
      </c>
      <c r="E468">
        <v>83496.539999999994</v>
      </c>
      <c r="F468">
        <v>83496.539999999994</v>
      </c>
      <c r="I468">
        <v>82289.539999999994</v>
      </c>
      <c r="J468">
        <v>83404.539999999994</v>
      </c>
      <c r="K468">
        <v>83404.539999999994</v>
      </c>
    </row>
    <row r="469" spans="1:12" x14ac:dyDescent="0.2">
      <c r="A469" t="s">
        <v>14</v>
      </c>
      <c r="B469" t="s">
        <v>112</v>
      </c>
      <c r="C469" t="s">
        <v>197</v>
      </c>
      <c r="D469">
        <v>96391.25</v>
      </c>
      <c r="E469">
        <v>96081.25</v>
      </c>
      <c r="I469">
        <v>96074.25</v>
      </c>
      <c r="J469">
        <v>96079.25</v>
      </c>
    </row>
    <row r="470" spans="1:12" x14ac:dyDescent="0.2">
      <c r="A470" t="s">
        <v>14</v>
      </c>
      <c r="B470" t="s">
        <v>112</v>
      </c>
      <c r="C470" t="s">
        <v>198</v>
      </c>
      <c r="D470">
        <v>74885.850000000006</v>
      </c>
      <c r="I470">
        <v>74388.850000000006</v>
      </c>
    </row>
    <row r="471" spans="1:12" x14ac:dyDescent="0.2">
      <c r="A471" t="s">
        <v>14</v>
      </c>
      <c r="B471" t="s">
        <v>115</v>
      </c>
      <c r="C471" t="s">
        <v>195</v>
      </c>
      <c r="D471">
        <v>266269.5</v>
      </c>
      <c r="E471">
        <v>253593.5</v>
      </c>
      <c r="F471">
        <v>251640.5</v>
      </c>
      <c r="G471">
        <v>251386.5</v>
      </c>
      <c r="I471">
        <v>113441.2</v>
      </c>
      <c r="J471">
        <v>201301</v>
      </c>
      <c r="K471">
        <v>218360.42</v>
      </c>
      <c r="L471">
        <v>222480.42</v>
      </c>
    </row>
    <row r="472" spans="1:12" x14ac:dyDescent="0.2">
      <c r="A472" t="s">
        <v>14</v>
      </c>
      <c r="B472" t="s">
        <v>115</v>
      </c>
      <c r="C472" t="s">
        <v>196</v>
      </c>
      <c r="D472">
        <v>304876</v>
      </c>
      <c r="E472">
        <v>297384</v>
      </c>
      <c r="F472">
        <v>293973</v>
      </c>
      <c r="I472">
        <v>154251.34</v>
      </c>
      <c r="J472">
        <v>237142.04</v>
      </c>
      <c r="K472">
        <v>255020.04</v>
      </c>
    </row>
    <row r="473" spans="1:12" x14ac:dyDescent="0.2">
      <c r="A473" t="s">
        <v>14</v>
      </c>
      <c r="B473" t="s">
        <v>115</v>
      </c>
      <c r="C473" t="s">
        <v>197</v>
      </c>
      <c r="D473">
        <v>424780.5</v>
      </c>
      <c r="E473">
        <v>411310.5</v>
      </c>
      <c r="I473">
        <v>211104.3</v>
      </c>
      <c r="J473">
        <v>312106.8</v>
      </c>
    </row>
    <row r="474" spans="1:12" x14ac:dyDescent="0.2">
      <c r="A474" t="s">
        <v>14</v>
      </c>
      <c r="B474" t="s">
        <v>115</v>
      </c>
      <c r="C474" t="s">
        <v>198</v>
      </c>
      <c r="D474">
        <v>350443.5</v>
      </c>
      <c r="I474">
        <v>166046.35</v>
      </c>
    </row>
    <row r="475" spans="1:12" x14ac:dyDescent="0.2">
      <c r="A475" t="s">
        <v>14</v>
      </c>
      <c r="B475" t="s">
        <v>113</v>
      </c>
      <c r="C475" t="s">
        <v>195</v>
      </c>
      <c r="D475">
        <v>20495</v>
      </c>
      <c r="E475">
        <v>20495</v>
      </c>
      <c r="F475">
        <v>20495</v>
      </c>
      <c r="G475">
        <v>20495</v>
      </c>
      <c r="I475">
        <v>20495</v>
      </c>
      <c r="J475">
        <v>20495</v>
      </c>
      <c r="K475">
        <v>20495</v>
      </c>
      <c r="L475">
        <v>20495</v>
      </c>
    </row>
    <row r="476" spans="1:12" x14ac:dyDescent="0.2">
      <c r="A476" t="s">
        <v>14</v>
      </c>
      <c r="B476" t="s">
        <v>113</v>
      </c>
      <c r="C476" t="s">
        <v>196</v>
      </c>
      <c r="D476">
        <v>17927</v>
      </c>
      <c r="E476">
        <v>17927</v>
      </c>
      <c r="F476">
        <v>17927</v>
      </c>
      <c r="I476">
        <v>17927</v>
      </c>
      <c r="J476">
        <v>17927</v>
      </c>
      <c r="K476">
        <v>17927</v>
      </c>
    </row>
    <row r="477" spans="1:12" x14ac:dyDescent="0.2">
      <c r="A477" t="s">
        <v>14</v>
      </c>
      <c r="B477" t="s">
        <v>113</v>
      </c>
      <c r="C477" t="s">
        <v>197</v>
      </c>
      <c r="D477">
        <v>23645</v>
      </c>
      <c r="E477">
        <v>23645</v>
      </c>
      <c r="I477">
        <v>23179</v>
      </c>
      <c r="J477">
        <v>23179</v>
      </c>
    </row>
    <row r="478" spans="1:12" x14ac:dyDescent="0.2">
      <c r="A478" t="s">
        <v>14</v>
      </c>
      <c r="B478" t="s">
        <v>113</v>
      </c>
      <c r="C478" t="s">
        <v>198</v>
      </c>
      <c r="D478">
        <v>18657.43</v>
      </c>
      <c r="I478">
        <v>17960.43</v>
      </c>
    </row>
    <row r="479" spans="1:12" x14ac:dyDescent="0.2">
      <c r="A479" t="s">
        <v>14</v>
      </c>
      <c r="B479" t="s">
        <v>72</v>
      </c>
      <c r="C479" t="s">
        <v>195</v>
      </c>
      <c r="D479">
        <v>37711</v>
      </c>
      <c r="E479">
        <v>37711</v>
      </c>
      <c r="F479">
        <v>37711</v>
      </c>
      <c r="G479">
        <v>37711</v>
      </c>
      <c r="I479">
        <v>36321</v>
      </c>
      <c r="J479">
        <v>36969</v>
      </c>
      <c r="K479">
        <v>36969</v>
      </c>
      <c r="L479">
        <v>36969</v>
      </c>
    </row>
    <row r="480" spans="1:12" x14ac:dyDescent="0.2">
      <c r="A480" t="s">
        <v>14</v>
      </c>
      <c r="B480" t="s">
        <v>72</v>
      </c>
      <c r="C480" t="s">
        <v>196</v>
      </c>
      <c r="D480">
        <v>45228</v>
      </c>
      <c r="E480">
        <v>45228</v>
      </c>
      <c r="F480">
        <v>45228</v>
      </c>
      <c r="I480">
        <v>44588</v>
      </c>
      <c r="J480">
        <v>44588</v>
      </c>
      <c r="K480">
        <v>44588</v>
      </c>
    </row>
    <row r="481" spans="1:12" x14ac:dyDescent="0.2">
      <c r="A481" t="s">
        <v>14</v>
      </c>
      <c r="B481" t="s">
        <v>72</v>
      </c>
      <c r="C481" t="s">
        <v>197</v>
      </c>
      <c r="D481">
        <v>45115</v>
      </c>
      <c r="E481">
        <v>45205</v>
      </c>
      <c r="I481">
        <v>44165</v>
      </c>
      <c r="J481">
        <v>44272.75</v>
      </c>
    </row>
    <row r="482" spans="1:12" x14ac:dyDescent="0.2">
      <c r="A482" t="s">
        <v>14</v>
      </c>
      <c r="B482" t="s">
        <v>72</v>
      </c>
      <c r="C482" t="s">
        <v>198</v>
      </c>
      <c r="D482">
        <v>37661</v>
      </c>
      <c r="I482">
        <v>36029</v>
      </c>
    </row>
    <row r="483" spans="1:12" x14ac:dyDescent="0.2">
      <c r="A483" s="60" t="s">
        <v>79</v>
      </c>
      <c r="B483" t="s">
        <v>109</v>
      </c>
      <c r="C483" t="s">
        <v>195</v>
      </c>
      <c r="D483">
        <v>2180490</v>
      </c>
      <c r="E483">
        <v>2180490</v>
      </c>
      <c r="F483">
        <v>2180490</v>
      </c>
      <c r="G483">
        <v>2180490</v>
      </c>
      <c r="I483">
        <v>89798</v>
      </c>
      <c r="J483">
        <v>145502</v>
      </c>
      <c r="K483">
        <v>188494</v>
      </c>
      <c r="L483">
        <v>217876</v>
      </c>
    </row>
    <row r="484" spans="1:12" x14ac:dyDescent="0.2">
      <c r="A484" s="60" t="s">
        <v>79</v>
      </c>
      <c r="B484" t="s">
        <v>109</v>
      </c>
      <c r="C484" t="s">
        <v>196</v>
      </c>
      <c r="D484">
        <v>2086372</v>
      </c>
      <c r="E484">
        <v>2086372</v>
      </c>
      <c r="F484">
        <v>2086372</v>
      </c>
      <c r="I484">
        <v>98574</v>
      </c>
      <c r="J484">
        <v>154369</v>
      </c>
      <c r="K484">
        <v>199052</v>
      </c>
    </row>
    <row r="485" spans="1:12" x14ac:dyDescent="0.2">
      <c r="A485" s="60" t="s">
        <v>79</v>
      </c>
      <c r="B485" t="s">
        <v>109</v>
      </c>
      <c r="C485" t="s">
        <v>197</v>
      </c>
      <c r="D485">
        <v>2154175</v>
      </c>
      <c r="E485">
        <v>2154175</v>
      </c>
      <c r="I485">
        <v>103922</v>
      </c>
      <c r="J485">
        <v>160085</v>
      </c>
    </row>
    <row r="486" spans="1:12" x14ac:dyDescent="0.2">
      <c r="A486" s="60" t="s">
        <v>79</v>
      </c>
      <c r="B486" t="s">
        <v>109</v>
      </c>
      <c r="C486" t="s">
        <v>198</v>
      </c>
      <c r="D486">
        <v>1846901</v>
      </c>
      <c r="I486">
        <v>82370</v>
      </c>
    </row>
    <row r="487" spans="1:12" x14ac:dyDescent="0.2">
      <c r="A487" s="60" t="s">
        <v>79</v>
      </c>
      <c r="B487" t="s">
        <v>145</v>
      </c>
      <c r="C487" t="s">
        <v>195</v>
      </c>
      <c r="D487">
        <v>486737</v>
      </c>
      <c r="E487">
        <v>486737</v>
      </c>
      <c r="F487">
        <v>486737</v>
      </c>
      <c r="G487">
        <v>486737</v>
      </c>
      <c r="I487">
        <v>2094</v>
      </c>
      <c r="J487">
        <v>3975</v>
      </c>
      <c r="K487">
        <v>4733</v>
      </c>
      <c r="L487">
        <v>5648</v>
      </c>
    </row>
    <row r="488" spans="1:12" x14ac:dyDescent="0.2">
      <c r="A488" s="60" t="s">
        <v>79</v>
      </c>
      <c r="B488" t="s">
        <v>145</v>
      </c>
      <c r="C488" t="s">
        <v>196</v>
      </c>
      <c r="D488">
        <v>91735</v>
      </c>
      <c r="E488">
        <v>91735</v>
      </c>
      <c r="F488">
        <v>91735</v>
      </c>
      <c r="I488">
        <v>2755</v>
      </c>
      <c r="J488">
        <v>3605</v>
      </c>
      <c r="K488">
        <v>4491</v>
      </c>
    </row>
    <row r="489" spans="1:12" x14ac:dyDescent="0.2">
      <c r="A489" s="60" t="s">
        <v>79</v>
      </c>
      <c r="B489" t="s">
        <v>145</v>
      </c>
      <c r="C489" t="s">
        <v>197</v>
      </c>
      <c r="D489">
        <v>329526</v>
      </c>
      <c r="E489">
        <v>329526</v>
      </c>
      <c r="I489">
        <v>4366</v>
      </c>
      <c r="J489">
        <v>5842</v>
      </c>
    </row>
    <row r="490" spans="1:12" x14ac:dyDescent="0.2">
      <c r="A490" s="60" t="s">
        <v>79</v>
      </c>
      <c r="B490" t="s">
        <v>145</v>
      </c>
      <c r="C490" t="s">
        <v>198</v>
      </c>
      <c r="D490">
        <v>333029</v>
      </c>
      <c r="I490">
        <v>663</v>
      </c>
    </row>
    <row r="491" spans="1:12" x14ac:dyDescent="0.2">
      <c r="A491" s="60" t="s">
        <v>79</v>
      </c>
      <c r="B491" t="s">
        <v>110</v>
      </c>
      <c r="C491" t="s">
        <v>195</v>
      </c>
      <c r="D491">
        <v>959817</v>
      </c>
      <c r="E491">
        <v>959817</v>
      </c>
      <c r="F491">
        <v>959817</v>
      </c>
      <c r="G491">
        <v>959817</v>
      </c>
      <c r="I491">
        <v>86238</v>
      </c>
      <c r="J491">
        <v>110994</v>
      </c>
      <c r="K491">
        <v>135423</v>
      </c>
      <c r="L491">
        <v>151759</v>
      </c>
    </row>
    <row r="492" spans="1:12" x14ac:dyDescent="0.2">
      <c r="A492" s="60" t="s">
        <v>79</v>
      </c>
      <c r="B492" t="s">
        <v>110</v>
      </c>
      <c r="C492" t="s">
        <v>196</v>
      </c>
      <c r="D492">
        <v>1017953</v>
      </c>
      <c r="E492">
        <v>1017953</v>
      </c>
      <c r="F492">
        <v>1017953</v>
      </c>
      <c r="I492">
        <v>98030</v>
      </c>
      <c r="J492">
        <v>119253</v>
      </c>
      <c r="K492">
        <v>137063</v>
      </c>
    </row>
    <row r="493" spans="1:12" x14ac:dyDescent="0.2">
      <c r="A493" s="60" t="s">
        <v>79</v>
      </c>
      <c r="B493" t="s">
        <v>110</v>
      </c>
      <c r="C493" t="s">
        <v>197</v>
      </c>
      <c r="D493">
        <v>1069262</v>
      </c>
      <c r="E493">
        <v>1069262</v>
      </c>
      <c r="I493">
        <v>113907</v>
      </c>
      <c r="J493">
        <v>135569</v>
      </c>
    </row>
    <row r="494" spans="1:12" x14ac:dyDescent="0.2">
      <c r="A494" s="60" t="s">
        <v>79</v>
      </c>
      <c r="B494" t="s">
        <v>110</v>
      </c>
      <c r="C494" t="s">
        <v>198</v>
      </c>
      <c r="D494">
        <v>826305</v>
      </c>
      <c r="I494">
        <v>112179</v>
      </c>
    </row>
    <row r="495" spans="1:12" x14ac:dyDescent="0.2">
      <c r="A495" s="60" t="s">
        <v>79</v>
      </c>
      <c r="B495" t="s">
        <v>116</v>
      </c>
      <c r="C495" t="s">
        <v>195</v>
      </c>
      <c r="D495">
        <v>98218</v>
      </c>
      <c r="E495">
        <v>98218</v>
      </c>
      <c r="F495">
        <v>98218</v>
      </c>
      <c r="G495">
        <v>98218</v>
      </c>
      <c r="I495">
        <v>7605</v>
      </c>
      <c r="J495">
        <v>11927</v>
      </c>
      <c r="K495">
        <v>12649</v>
      </c>
      <c r="L495">
        <v>12231</v>
      </c>
    </row>
    <row r="496" spans="1:12" x14ac:dyDescent="0.2">
      <c r="A496" s="60" t="s">
        <v>79</v>
      </c>
      <c r="B496" t="s">
        <v>116</v>
      </c>
      <c r="C496" t="s">
        <v>196</v>
      </c>
      <c r="D496">
        <v>130730</v>
      </c>
      <c r="E496">
        <v>130730</v>
      </c>
      <c r="F496">
        <v>130730</v>
      </c>
      <c r="I496">
        <v>10825</v>
      </c>
      <c r="J496">
        <v>15135</v>
      </c>
      <c r="K496">
        <v>17762</v>
      </c>
    </row>
    <row r="497" spans="1:12" x14ac:dyDescent="0.2">
      <c r="A497" s="60" t="s">
        <v>79</v>
      </c>
      <c r="B497" t="s">
        <v>116</v>
      </c>
      <c r="C497" t="s">
        <v>197</v>
      </c>
      <c r="D497">
        <v>93265</v>
      </c>
      <c r="E497">
        <v>93265</v>
      </c>
      <c r="I497">
        <v>13260</v>
      </c>
      <c r="J497">
        <v>17576</v>
      </c>
    </row>
    <row r="498" spans="1:12" x14ac:dyDescent="0.2">
      <c r="A498" s="60" t="s">
        <v>79</v>
      </c>
      <c r="B498" t="s">
        <v>116</v>
      </c>
      <c r="C498" t="s">
        <v>198</v>
      </c>
      <c r="D498">
        <v>71253</v>
      </c>
      <c r="I498">
        <v>9435</v>
      </c>
    </row>
    <row r="499" spans="1:12" x14ac:dyDescent="0.2">
      <c r="A499" s="60" t="s">
        <v>79</v>
      </c>
      <c r="B499" t="s">
        <v>114</v>
      </c>
      <c r="C499" t="s">
        <v>195</v>
      </c>
      <c r="D499">
        <v>1292659.42</v>
      </c>
      <c r="E499">
        <v>1292659.42</v>
      </c>
      <c r="F499">
        <v>1292659.42</v>
      </c>
      <c r="G499">
        <v>1292659.42</v>
      </c>
      <c r="I499">
        <v>152242.48000000001</v>
      </c>
      <c r="J499">
        <v>279812.53000000003</v>
      </c>
      <c r="K499">
        <v>395966.14</v>
      </c>
      <c r="L499">
        <v>449967.43</v>
      </c>
    </row>
    <row r="500" spans="1:12" x14ac:dyDescent="0.2">
      <c r="A500" s="60" t="s">
        <v>79</v>
      </c>
      <c r="B500" t="s">
        <v>114</v>
      </c>
      <c r="C500" t="s">
        <v>196</v>
      </c>
      <c r="D500">
        <v>1400316.34</v>
      </c>
      <c r="E500">
        <v>1400316.34</v>
      </c>
      <c r="F500">
        <v>1400316.34</v>
      </c>
      <c r="I500">
        <v>202562.72</v>
      </c>
      <c r="J500">
        <v>320292.59000000003</v>
      </c>
      <c r="K500">
        <v>415543</v>
      </c>
    </row>
    <row r="501" spans="1:12" x14ac:dyDescent="0.2">
      <c r="A501" s="60" t="s">
        <v>79</v>
      </c>
      <c r="B501" t="s">
        <v>114</v>
      </c>
      <c r="C501" t="s">
        <v>197</v>
      </c>
      <c r="D501">
        <v>1311951.75</v>
      </c>
      <c r="E501">
        <v>1311951.75</v>
      </c>
      <c r="I501">
        <v>166871.54999999999</v>
      </c>
      <c r="J501">
        <v>240155.86</v>
      </c>
    </row>
    <row r="502" spans="1:12" x14ac:dyDescent="0.2">
      <c r="A502" s="60" t="s">
        <v>79</v>
      </c>
      <c r="B502" t="s">
        <v>114</v>
      </c>
      <c r="C502" t="s">
        <v>198</v>
      </c>
      <c r="D502">
        <v>967480.71</v>
      </c>
      <c r="I502">
        <v>127932.46</v>
      </c>
    </row>
    <row r="503" spans="1:12" x14ac:dyDescent="0.2">
      <c r="A503" s="60" t="s">
        <v>79</v>
      </c>
      <c r="B503" t="s">
        <v>111</v>
      </c>
      <c r="C503" t="s">
        <v>195</v>
      </c>
      <c r="D503">
        <v>4652312</v>
      </c>
      <c r="E503">
        <v>4652312</v>
      </c>
      <c r="F503">
        <v>4652312</v>
      </c>
      <c r="G503">
        <v>4652312</v>
      </c>
      <c r="I503">
        <v>4652312</v>
      </c>
      <c r="J503">
        <v>4652312</v>
      </c>
      <c r="K503">
        <v>4652312</v>
      </c>
      <c r="L503">
        <v>4652312</v>
      </c>
    </row>
    <row r="504" spans="1:12" x14ac:dyDescent="0.2">
      <c r="A504" s="60" t="s">
        <v>79</v>
      </c>
      <c r="B504" t="s">
        <v>111</v>
      </c>
      <c r="C504" t="s">
        <v>196</v>
      </c>
      <c r="D504">
        <v>4548209</v>
      </c>
      <c r="E504">
        <v>4548209</v>
      </c>
      <c r="F504">
        <v>4548209</v>
      </c>
      <c r="I504">
        <v>4548209</v>
      </c>
      <c r="J504">
        <v>4548209</v>
      </c>
      <c r="K504">
        <v>4548209</v>
      </c>
    </row>
    <row r="505" spans="1:12" x14ac:dyDescent="0.2">
      <c r="A505" s="60" t="s">
        <v>79</v>
      </c>
      <c r="B505" t="s">
        <v>111</v>
      </c>
      <c r="C505" t="s">
        <v>197</v>
      </c>
      <c r="D505">
        <v>4474372</v>
      </c>
      <c r="E505">
        <v>4474372</v>
      </c>
      <c r="I505">
        <v>4474372</v>
      </c>
      <c r="J505">
        <v>4474372</v>
      </c>
    </row>
    <row r="506" spans="1:12" x14ac:dyDescent="0.2">
      <c r="A506" s="60" t="s">
        <v>79</v>
      </c>
      <c r="B506" t="s">
        <v>111</v>
      </c>
      <c r="C506" t="s">
        <v>198</v>
      </c>
      <c r="D506">
        <v>4223289</v>
      </c>
      <c r="I506">
        <v>4223289</v>
      </c>
    </row>
    <row r="507" spans="1:12" x14ac:dyDescent="0.2">
      <c r="A507" s="60" t="s">
        <v>79</v>
      </c>
      <c r="B507" t="s">
        <v>112</v>
      </c>
      <c r="C507" t="s">
        <v>195</v>
      </c>
      <c r="D507">
        <v>4042265</v>
      </c>
      <c r="E507">
        <v>4042265</v>
      </c>
      <c r="F507">
        <v>4042265</v>
      </c>
      <c r="G507">
        <v>4042265</v>
      </c>
      <c r="I507">
        <v>4042265</v>
      </c>
      <c r="J507">
        <v>4042265</v>
      </c>
      <c r="K507">
        <v>4042265</v>
      </c>
      <c r="L507">
        <v>4042265</v>
      </c>
    </row>
    <row r="508" spans="1:12" x14ac:dyDescent="0.2">
      <c r="A508" s="60" t="s">
        <v>79</v>
      </c>
      <c r="B508" t="s">
        <v>112</v>
      </c>
      <c r="C508" t="s">
        <v>196</v>
      </c>
      <c r="D508">
        <v>4020915</v>
      </c>
      <c r="E508">
        <v>4020915</v>
      </c>
      <c r="F508">
        <v>4020915</v>
      </c>
      <c r="I508">
        <v>4020915</v>
      </c>
      <c r="J508">
        <v>4020915</v>
      </c>
      <c r="K508">
        <v>4020915</v>
      </c>
    </row>
    <row r="509" spans="1:12" x14ac:dyDescent="0.2">
      <c r="A509" s="60" t="s">
        <v>79</v>
      </c>
      <c r="B509" t="s">
        <v>112</v>
      </c>
      <c r="C509" t="s">
        <v>197</v>
      </c>
      <c r="D509">
        <v>3985360</v>
      </c>
      <c r="E509">
        <v>3985360</v>
      </c>
      <c r="I509">
        <v>3985360</v>
      </c>
      <c r="J509">
        <v>3985360</v>
      </c>
    </row>
    <row r="510" spans="1:12" x14ac:dyDescent="0.2">
      <c r="A510" s="60" t="s">
        <v>79</v>
      </c>
      <c r="B510" t="s">
        <v>112</v>
      </c>
      <c r="C510" t="s">
        <v>198</v>
      </c>
      <c r="D510">
        <v>3761797</v>
      </c>
      <c r="I510">
        <v>3761797</v>
      </c>
    </row>
    <row r="511" spans="1:12" x14ac:dyDescent="0.2">
      <c r="A511" s="60" t="s">
        <v>79</v>
      </c>
      <c r="B511" t="s">
        <v>115</v>
      </c>
      <c r="C511" t="s">
        <v>195</v>
      </c>
      <c r="D511">
        <v>15551617.789999999</v>
      </c>
      <c r="E511">
        <v>15551617.789999999</v>
      </c>
      <c r="F511">
        <v>15551617.789999999</v>
      </c>
      <c r="G511">
        <v>15551617.789999999</v>
      </c>
      <c r="I511">
        <v>5685731.71</v>
      </c>
      <c r="J511">
        <v>9726099.9499999993</v>
      </c>
      <c r="K511">
        <v>10707206.74</v>
      </c>
      <c r="L511">
        <v>11173672.939999999</v>
      </c>
    </row>
    <row r="512" spans="1:12" x14ac:dyDescent="0.2">
      <c r="A512" s="60" t="s">
        <v>79</v>
      </c>
      <c r="B512" t="s">
        <v>115</v>
      </c>
      <c r="C512" t="s">
        <v>196</v>
      </c>
      <c r="D512">
        <v>17576347.289999999</v>
      </c>
      <c r="E512">
        <v>17576347.289999999</v>
      </c>
      <c r="F512">
        <v>17576347.289999999</v>
      </c>
      <c r="I512">
        <v>7286214.6100000003</v>
      </c>
      <c r="J512">
        <v>11338267.02</v>
      </c>
      <c r="K512">
        <v>12314448.789999999</v>
      </c>
    </row>
    <row r="513" spans="1:12" x14ac:dyDescent="0.2">
      <c r="A513" s="60" t="s">
        <v>79</v>
      </c>
      <c r="B513" t="s">
        <v>115</v>
      </c>
      <c r="C513" t="s">
        <v>197</v>
      </c>
      <c r="D513">
        <v>18343894.34</v>
      </c>
      <c r="E513">
        <v>18343894.34</v>
      </c>
      <c r="I513">
        <v>7137315.3899999997</v>
      </c>
      <c r="J513">
        <v>11482277.689999999</v>
      </c>
    </row>
    <row r="514" spans="1:12" x14ac:dyDescent="0.2">
      <c r="A514" s="60" t="s">
        <v>79</v>
      </c>
      <c r="B514" t="s">
        <v>115</v>
      </c>
      <c r="C514" t="s">
        <v>198</v>
      </c>
      <c r="D514">
        <v>17512708.140000001</v>
      </c>
      <c r="I514">
        <v>6629156.4500000002</v>
      </c>
    </row>
    <row r="515" spans="1:12" x14ac:dyDescent="0.2">
      <c r="A515" s="60" t="s">
        <v>79</v>
      </c>
      <c r="B515" t="s">
        <v>113</v>
      </c>
      <c r="C515" t="s">
        <v>195</v>
      </c>
      <c r="D515">
        <v>462774</v>
      </c>
      <c r="E515">
        <v>462774</v>
      </c>
      <c r="F515">
        <v>462774</v>
      </c>
      <c r="G515">
        <v>462774</v>
      </c>
      <c r="I515">
        <v>462774</v>
      </c>
      <c r="J515">
        <v>462774</v>
      </c>
      <c r="K515">
        <v>462774</v>
      </c>
      <c r="L515">
        <v>462774</v>
      </c>
    </row>
    <row r="516" spans="1:12" x14ac:dyDescent="0.2">
      <c r="A516" s="60" t="s">
        <v>79</v>
      </c>
      <c r="B516" t="s">
        <v>113</v>
      </c>
      <c r="C516" t="s">
        <v>196</v>
      </c>
      <c r="D516">
        <v>495885</v>
      </c>
      <c r="E516">
        <v>495885</v>
      </c>
      <c r="F516">
        <v>495885</v>
      </c>
      <c r="I516">
        <v>495885</v>
      </c>
      <c r="J516">
        <v>495885</v>
      </c>
      <c r="K516">
        <v>495885</v>
      </c>
    </row>
    <row r="517" spans="1:12" x14ac:dyDescent="0.2">
      <c r="A517" s="60" t="s">
        <v>79</v>
      </c>
      <c r="B517" t="s">
        <v>113</v>
      </c>
      <c r="C517" t="s">
        <v>197</v>
      </c>
      <c r="D517">
        <v>514135</v>
      </c>
      <c r="E517">
        <v>514135</v>
      </c>
      <c r="I517">
        <v>514135</v>
      </c>
      <c r="J517">
        <v>514135</v>
      </c>
    </row>
    <row r="518" spans="1:12" x14ac:dyDescent="0.2">
      <c r="A518" s="60" t="s">
        <v>79</v>
      </c>
      <c r="B518" t="s">
        <v>113</v>
      </c>
      <c r="C518" t="s">
        <v>198</v>
      </c>
      <c r="D518">
        <v>407452</v>
      </c>
      <c r="I518">
        <v>407452</v>
      </c>
    </row>
    <row r="519" spans="1:12" x14ac:dyDescent="0.2">
      <c r="A519" s="60" t="s">
        <v>79</v>
      </c>
      <c r="B519" t="s">
        <v>72</v>
      </c>
      <c r="C519" t="s">
        <v>195</v>
      </c>
      <c r="D519">
        <v>1247842</v>
      </c>
      <c r="E519">
        <v>1247842</v>
      </c>
      <c r="F519">
        <v>1247842</v>
      </c>
      <c r="G519">
        <v>1247842</v>
      </c>
      <c r="I519">
        <v>1247842</v>
      </c>
      <c r="J519">
        <v>1247842</v>
      </c>
      <c r="K519">
        <v>1247842</v>
      </c>
      <c r="L519">
        <v>1247842</v>
      </c>
    </row>
    <row r="520" spans="1:12" x14ac:dyDescent="0.2">
      <c r="A520" s="60" t="s">
        <v>79</v>
      </c>
      <c r="B520" t="s">
        <v>72</v>
      </c>
      <c r="C520" t="s">
        <v>196</v>
      </c>
      <c r="D520">
        <v>1533532</v>
      </c>
      <c r="E520">
        <v>1533532</v>
      </c>
      <c r="F520">
        <v>1533532</v>
      </c>
      <c r="I520">
        <v>1533532</v>
      </c>
      <c r="J520">
        <v>1533532</v>
      </c>
      <c r="K520">
        <v>1533532</v>
      </c>
    </row>
    <row r="521" spans="1:12" x14ac:dyDescent="0.2">
      <c r="A521" s="60" t="s">
        <v>79</v>
      </c>
      <c r="B521" t="s">
        <v>72</v>
      </c>
      <c r="C521" t="s">
        <v>197</v>
      </c>
      <c r="D521">
        <v>1547769</v>
      </c>
      <c r="E521">
        <v>1547769</v>
      </c>
      <c r="I521">
        <v>1547769</v>
      </c>
      <c r="J521">
        <v>1547769</v>
      </c>
    </row>
    <row r="522" spans="1:12" x14ac:dyDescent="0.2">
      <c r="A522" s="60" t="s">
        <v>79</v>
      </c>
      <c r="B522" t="s">
        <v>72</v>
      </c>
      <c r="C522" t="s">
        <v>198</v>
      </c>
      <c r="D522">
        <v>1153091</v>
      </c>
      <c r="I522">
        <v>1153091</v>
      </c>
    </row>
    <row r="523" spans="1:12" x14ac:dyDescent="0.2">
      <c r="A523" t="s">
        <v>16</v>
      </c>
      <c r="B523" t="s">
        <v>109</v>
      </c>
      <c r="C523" t="s">
        <v>195</v>
      </c>
      <c r="D523">
        <v>161178.32999999999</v>
      </c>
      <c r="E523">
        <v>159778.32999999999</v>
      </c>
      <c r="F523">
        <v>159828.32999999999</v>
      </c>
      <c r="G523">
        <v>159828.32999999999</v>
      </c>
      <c r="I523">
        <v>3384.39</v>
      </c>
      <c r="J523">
        <v>9379.59</v>
      </c>
      <c r="K523">
        <v>12300.17</v>
      </c>
      <c r="L523">
        <v>16493.07</v>
      </c>
    </row>
    <row r="524" spans="1:12" x14ac:dyDescent="0.2">
      <c r="A524" t="s">
        <v>16</v>
      </c>
      <c r="B524" t="s">
        <v>109</v>
      </c>
      <c r="C524" t="s">
        <v>196</v>
      </c>
      <c r="D524">
        <v>315925.56</v>
      </c>
      <c r="E524">
        <v>316900.56</v>
      </c>
      <c r="F524">
        <v>316950.56</v>
      </c>
      <c r="I524">
        <v>13367.88</v>
      </c>
      <c r="J524">
        <v>18983.310000000001</v>
      </c>
      <c r="K524">
        <v>23567.119999999999</v>
      </c>
    </row>
    <row r="525" spans="1:12" x14ac:dyDescent="0.2">
      <c r="A525" t="s">
        <v>16</v>
      </c>
      <c r="B525" t="s">
        <v>109</v>
      </c>
      <c r="C525" t="s">
        <v>197</v>
      </c>
      <c r="D525">
        <v>438438.85</v>
      </c>
      <c r="E525">
        <v>438191.14</v>
      </c>
      <c r="I525">
        <v>7137.07</v>
      </c>
      <c r="J525">
        <v>11059.14</v>
      </c>
    </row>
    <row r="526" spans="1:12" x14ac:dyDescent="0.2">
      <c r="A526" t="s">
        <v>16</v>
      </c>
      <c r="B526" t="s">
        <v>109</v>
      </c>
      <c r="C526" t="s">
        <v>198</v>
      </c>
      <c r="D526">
        <v>141406.29999999999</v>
      </c>
      <c r="I526">
        <v>3036.2</v>
      </c>
    </row>
    <row r="527" spans="1:12" x14ac:dyDescent="0.2">
      <c r="A527" t="s">
        <v>16</v>
      </c>
      <c r="B527" t="s">
        <v>145</v>
      </c>
      <c r="C527" t="s">
        <v>195</v>
      </c>
    </row>
    <row r="528" spans="1:12" x14ac:dyDescent="0.2">
      <c r="A528" t="s">
        <v>16</v>
      </c>
      <c r="B528" t="s">
        <v>145</v>
      </c>
      <c r="C528" t="s">
        <v>196</v>
      </c>
    </row>
    <row r="529" spans="1:12" x14ac:dyDescent="0.2">
      <c r="A529" t="s">
        <v>16</v>
      </c>
      <c r="B529" t="s">
        <v>145</v>
      </c>
      <c r="C529" t="s">
        <v>197</v>
      </c>
    </row>
    <row r="530" spans="1:12" x14ac:dyDescent="0.2">
      <c r="A530" t="s">
        <v>16</v>
      </c>
      <c r="B530" t="s">
        <v>145</v>
      </c>
      <c r="C530" t="s">
        <v>198</v>
      </c>
    </row>
    <row r="531" spans="1:12" x14ac:dyDescent="0.2">
      <c r="A531" t="s">
        <v>16</v>
      </c>
      <c r="B531" t="s">
        <v>110</v>
      </c>
      <c r="C531" t="s">
        <v>195</v>
      </c>
      <c r="D531">
        <v>44184.5</v>
      </c>
      <c r="E531">
        <v>44184.5</v>
      </c>
      <c r="F531">
        <v>44184.5</v>
      </c>
      <c r="G531">
        <v>44184.5</v>
      </c>
      <c r="I531">
        <v>8706.5</v>
      </c>
      <c r="J531">
        <v>11955.5</v>
      </c>
      <c r="K531">
        <v>14754.5</v>
      </c>
      <c r="L531">
        <v>16235.1</v>
      </c>
    </row>
    <row r="532" spans="1:12" x14ac:dyDescent="0.2">
      <c r="A532" t="s">
        <v>16</v>
      </c>
      <c r="B532" t="s">
        <v>110</v>
      </c>
      <c r="C532" t="s">
        <v>196</v>
      </c>
      <c r="D532">
        <v>44769.760000000002</v>
      </c>
      <c r="E532">
        <v>44769.760000000002</v>
      </c>
      <c r="F532">
        <v>44769.760000000002</v>
      </c>
      <c r="I532">
        <v>10263.5</v>
      </c>
      <c r="J532">
        <v>13098.5</v>
      </c>
      <c r="K532">
        <v>14388.5</v>
      </c>
    </row>
    <row r="533" spans="1:12" x14ac:dyDescent="0.2">
      <c r="A533" t="s">
        <v>16</v>
      </c>
      <c r="B533" t="s">
        <v>110</v>
      </c>
      <c r="C533" t="s">
        <v>197</v>
      </c>
      <c r="D533">
        <v>45680.5</v>
      </c>
      <c r="E533">
        <v>45680.5</v>
      </c>
      <c r="I533">
        <v>6966.18</v>
      </c>
      <c r="J533">
        <v>9675.67</v>
      </c>
    </row>
    <row r="534" spans="1:12" x14ac:dyDescent="0.2">
      <c r="A534" t="s">
        <v>16</v>
      </c>
      <c r="B534" t="s">
        <v>110</v>
      </c>
      <c r="C534" t="s">
        <v>198</v>
      </c>
      <c r="D534">
        <v>32732</v>
      </c>
      <c r="I534">
        <v>4742</v>
      </c>
    </row>
    <row r="535" spans="1:12" x14ac:dyDescent="0.2">
      <c r="A535" t="s">
        <v>16</v>
      </c>
      <c r="B535" t="s">
        <v>116</v>
      </c>
      <c r="C535" t="s">
        <v>195</v>
      </c>
      <c r="D535">
        <v>2115.5</v>
      </c>
      <c r="E535">
        <v>2115.5</v>
      </c>
      <c r="F535">
        <v>2115.5</v>
      </c>
      <c r="G535">
        <v>2115.5</v>
      </c>
      <c r="I535">
        <v>15.5</v>
      </c>
      <c r="J535">
        <v>15.5</v>
      </c>
      <c r="K535">
        <v>39.5</v>
      </c>
      <c r="L535">
        <v>39.5</v>
      </c>
    </row>
    <row r="536" spans="1:12" x14ac:dyDescent="0.2">
      <c r="A536" t="s">
        <v>16</v>
      </c>
      <c r="B536" t="s">
        <v>116</v>
      </c>
      <c r="C536" t="s">
        <v>196</v>
      </c>
      <c r="D536">
        <v>4788.5</v>
      </c>
      <c r="E536">
        <v>4953.5</v>
      </c>
      <c r="F536">
        <v>4953.5</v>
      </c>
      <c r="I536">
        <v>358.5</v>
      </c>
      <c r="J536">
        <v>624.5</v>
      </c>
      <c r="K536">
        <v>909.5</v>
      </c>
    </row>
    <row r="537" spans="1:12" x14ac:dyDescent="0.2">
      <c r="A537" t="s">
        <v>16</v>
      </c>
      <c r="B537" t="s">
        <v>116</v>
      </c>
      <c r="C537" t="s">
        <v>197</v>
      </c>
      <c r="D537">
        <v>3945</v>
      </c>
      <c r="E537">
        <v>3945</v>
      </c>
      <c r="I537">
        <v>525</v>
      </c>
      <c r="J537">
        <v>750</v>
      </c>
    </row>
    <row r="538" spans="1:12" x14ac:dyDescent="0.2">
      <c r="A538" t="s">
        <v>16</v>
      </c>
      <c r="B538" t="s">
        <v>116</v>
      </c>
      <c r="C538" t="s">
        <v>198</v>
      </c>
      <c r="D538">
        <v>4027</v>
      </c>
      <c r="I538">
        <v>242</v>
      </c>
    </row>
    <row r="539" spans="1:12" x14ac:dyDescent="0.2">
      <c r="A539" t="s">
        <v>16</v>
      </c>
      <c r="B539" t="s">
        <v>114</v>
      </c>
      <c r="C539" t="s">
        <v>195</v>
      </c>
      <c r="D539">
        <v>54874.5</v>
      </c>
      <c r="E539">
        <v>54874.5</v>
      </c>
      <c r="F539">
        <v>54874.5</v>
      </c>
      <c r="G539">
        <v>54874.5</v>
      </c>
      <c r="I539">
        <v>16034</v>
      </c>
      <c r="J539">
        <v>25665</v>
      </c>
      <c r="K539">
        <v>28175</v>
      </c>
      <c r="L539">
        <v>28771</v>
      </c>
    </row>
    <row r="540" spans="1:12" x14ac:dyDescent="0.2">
      <c r="A540" t="s">
        <v>16</v>
      </c>
      <c r="B540" t="s">
        <v>114</v>
      </c>
      <c r="C540" t="s">
        <v>196</v>
      </c>
      <c r="D540">
        <v>42761.25</v>
      </c>
      <c r="E540">
        <v>42711.25</v>
      </c>
      <c r="F540">
        <v>42711.25</v>
      </c>
      <c r="I540">
        <v>17624.32</v>
      </c>
      <c r="J540">
        <v>21624.25</v>
      </c>
      <c r="K540">
        <v>23537.25</v>
      </c>
    </row>
    <row r="541" spans="1:12" x14ac:dyDescent="0.2">
      <c r="A541" t="s">
        <v>16</v>
      </c>
      <c r="B541" t="s">
        <v>114</v>
      </c>
      <c r="C541" t="s">
        <v>197</v>
      </c>
      <c r="D541">
        <v>45647.5</v>
      </c>
      <c r="E541">
        <v>45972.5</v>
      </c>
      <c r="I541">
        <v>17607.34</v>
      </c>
      <c r="J541">
        <v>21475.82</v>
      </c>
    </row>
    <row r="542" spans="1:12" x14ac:dyDescent="0.2">
      <c r="A542" t="s">
        <v>16</v>
      </c>
      <c r="B542" t="s">
        <v>114</v>
      </c>
      <c r="C542" t="s">
        <v>198</v>
      </c>
      <c r="D542">
        <v>47805</v>
      </c>
      <c r="I542">
        <v>13464</v>
      </c>
    </row>
    <row r="543" spans="1:12" x14ac:dyDescent="0.2">
      <c r="A543" t="s">
        <v>16</v>
      </c>
      <c r="B543" t="s">
        <v>111</v>
      </c>
      <c r="C543" t="s">
        <v>195</v>
      </c>
      <c r="D543">
        <v>24550</v>
      </c>
      <c r="E543">
        <v>24550</v>
      </c>
      <c r="F543">
        <v>24550</v>
      </c>
      <c r="G543">
        <v>24550</v>
      </c>
      <c r="I543">
        <v>24550</v>
      </c>
      <c r="J543">
        <v>24550</v>
      </c>
      <c r="K543">
        <v>24550</v>
      </c>
      <c r="L543">
        <v>24550</v>
      </c>
    </row>
    <row r="544" spans="1:12" x14ac:dyDescent="0.2">
      <c r="A544" t="s">
        <v>16</v>
      </c>
      <c r="B544" t="s">
        <v>111</v>
      </c>
      <c r="C544" t="s">
        <v>196</v>
      </c>
      <c r="D544">
        <v>32439</v>
      </c>
      <c r="E544">
        <v>32439</v>
      </c>
      <c r="F544">
        <v>32439</v>
      </c>
      <c r="I544">
        <v>32439</v>
      </c>
      <c r="J544">
        <v>32439</v>
      </c>
      <c r="K544">
        <v>32439</v>
      </c>
    </row>
    <row r="545" spans="1:12" x14ac:dyDescent="0.2">
      <c r="A545" t="s">
        <v>16</v>
      </c>
      <c r="B545" t="s">
        <v>111</v>
      </c>
      <c r="C545" t="s">
        <v>197</v>
      </c>
      <c r="D545">
        <v>27953</v>
      </c>
      <c r="E545">
        <v>27953</v>
      </c>
      <c r="I545">
        <v>26758</v>
      </c>
      <c r="J545">
        <v>27153</v>
      </c>
    </row>
    <row r="546" spans="1:12" x14ac:dyDescent="0.2">
      <c r="A546" t="s">
        <v>16</v>
      </c>
      <c r="B546" t="s">
        <v>111</v>
      </c>
      <c r="C546" t="s">
        <v>198</v>
      </c>
      <c r="D546">
        <v>26684</v>
      </c>
      <c r="I546">
        <v>25294</v>
      </c>
    </row>
    <row r="547" spans="1:12" x14ac:dyDescent="0.2">
      <c r="A547" t="s">
        <v>16</v>
      </c>
      <c r="B547" t="s">
        <v>112</v>
      </c>
      <c r="C547" t="s">
        <v>195</v>
      </c>
      <c r="D547">
        <v>26298</v>
      </c>
      <c r="E547">
        <v>26298</v>
      </c>
      <c r="F547">
        <v>26298</v>
      </c>
      <c r="G547">
        <v>26298</v>
      </c>
      <c r="I547">
        <v>26102</v>
      </c>
      <c r="J547">
        <v>26102</v>
      </c>
      <c r="K547">
        <v>26102</v>
      </c>
      <c r="L547">
        <v>26102</v>
      </c>
    </row>
    <row r="548" spans="1:12" x14ac:dyDescent="0.2">
      <c r="A548" t="s">
        <v>16</v>
      </c>
      <c r="B548" t="s">
        <v>112</v>
      </c>
      <c r="C548" t="s">
        <v>196</v>
      </c>
      <c r="D548">
        <v>25237.55</v>
      </c>
      <c r="E548">
        <v>25237.55</v>
      </c>
      <c r="F548">
        <v>25237.55</v>
      </c>
      <c r="I548">
        <v>24967.55</v>
      </c>
      <c r="J548">
        <v>25237.55</v>
      </c>
      <c r="K548">
        <v>25237.55</v>
      </c>
    </row>
    <row r="549" spans="1:12" x14ac:dyDescent="0.2">
      <c r="A549" t="s">
        <v>16</v>
      </c>
      <c r="B549" t="s">
        <v>112</v>
      </c>
      <c r="C549" t="s">
        <v>197</v>
      </c>
      <c r="D549">
        <v>26533</v>
      </c>
      <c r="E549">
        <v>26533</v>
      </c>
      <c r="I549">
        <v>26393</v>
      </c>
      <c r="J549">
        <v>26393</v>
      </c>
    </row>
    <row r="550" spans="1:12" x14ac:dyDescent="0.2">
      <c r="A550" t="s">
        <v>16</v>
      </c>
      <c r="B550" t="s">
        <v>112</v>
      </c>
      <c r="C550" t="s">
        <v>198</v>
      </c>
      <c r="D550">
        <v>24933.86</v>
      </c>
      <c r="I550">
        <v>23788.86</v>
      </c>
    </row>
    <row r="551" spans="1:12" x14ac:dyDescent="0.2">
      <c r="A551" t="s">
        <v>16</v>
      </c>
      <c r="B551" t="s">
        <v>115</v>
      </c>
      <c r="C551" t="s">
        <v>195</v>
      </c>
      <c r="D551">
        <v>83405</v>
      </c>
      <c r="E551">
        <v>81510.75</v>
      </c>
      <c r="F551">
        <v>80737.75</v>
      </c>
      <c r="G551">
        <v>80737.75</v>
      </c>
      <c r="I551">
        <v>37468.75</v>
      </c>
      <c r="J551">
        <v>69157.5</v>
      </c>
      <c r="K551">
        <v>72604</v>
      </c>
      <c r="L551">
        <v>73365</v>
      </c>
    </row>
    <row r="552" spans="1:12" x14ac:dyDescent="0.2">
      <c r="A552" t="s">
        <v>16</v>
      </c>
      <c r="B552" t="s">
        <v>115</v>
      </c>
      <c r="C552" t="s">
        <v>196</v>
      </c>
      <c r="D552">
        <v>90381.3</v>
      </c>
      <c r="E552">
        <v>88615.05</v>
      </c>
      <c r="F552">
        <v>88615.05</v>
      </c>
      <c r="I552">
        <v>46322.8</v>
      </c>
      <c r="J552">
        <v>76223.55</v>
      </c>
      <c r="K552">
        <v>79621.55</v>
      </c>
    </row>
    <row r="553" spans="1:12" x14ac:dyDescent="0.2">
      <c r="A553" t="s">
        <v>16</v>
      </c>
      <c r="B553" t="s">
        <v>115</v>
      </c>
      <c r="C553" t="s">
        <v>197</v>
      </c>
      <c r="D553">
        <v>100161.9</v>
      </c>
      <c r="E553">
        <v>97455.8</v>
      </c>
      <c r="I553">
        <v>44539.25</v>
      </c>
      <c r="J553">
        <v>72871.899999999994</v>
      </c>
    </row>
    <row r="554" spans="1:12" x14ac:dyDescent="0.2">
      <c r="A554" t="s">
        <v>16</v>
      </c>
      <c r="B554" t="s">
        <v>115</v>
      </c>
      <c r="C554" t="s">
        <v>198</v>
      </c>
      <c r="D554">
        <v>94805.05</v>
      </c>
      <c r="I554">
        <v>47267.05</v>
      </c>
    </row>
    <row r="555" spans="1:12" x14ac:dyDescent="0.2">
      <c r="A555" t="s">
        <v>16</v>
      </c>
      <c r="B555" t="s">
        <v>113</v>
      </c>
      <c r="C555" t="s">
        <v>195</v>
      </c>
      <c r="D555">
        <v>8154</v>
      </c>
      <c r="E555">
        <v>8154</v>
      </c>
      <c r="F555">
        <v>8154</v>
      </c>
      <c r="G555">
        <v>8154</v>
      </c>
      <c r="I555">
        <v>7754</v>
      </c>
      <c r="J555">
        <v>7754</v>
      </c>
      <c r="K555">
        <v>7754</v>
      </c>
      <c r="L555">
        <v>7754</v>
      </c>
    </row>
    <row r="556" spans="1:12" x14ac:dyDescent="0.2">
      <c r="A556" t="s">
        <v>16</v>
      </c>
      <c r="B556" t="s">
        <v>113</v>
      </c>
      <c r="C556" t="s">
        <v>196</v>
      </c>
      <c r="D556">
        <v>7243</v>
      </c>
      <c r="E556">
        <v>7243</v>
      </c>
      <c r="F556">
        <v>7243</v>
      </c>
      <c r="I556">
        <v>7243</v>
      </c>
      <c r="J556">
        <v>7243</v>
      </c>
      <c r="K556">
        <v>7243</v>
      </c>
    </row>
    <row r="557" spans="1:12" x14ac:dyDescent="0.2">
      <c r="A557" t="s">
        <v>16</v>
      </c>
      <c r="B557" t="s">
        <v>113</v>
      </c>
      <c r="C557" t="s">
        <v>197</v>
      </c>
      <c r="D557">
        <v>10405</v>
      </c>
      <c r="E557">
        <v>10405</v>
      </c>
      <c r="I557">
        <v>10364</v>
      </c>
      <c r="J557">
        <v>10364</v>
      </c>
    </row>
    <row r="558" spans="1:12" x14ac:dyDescent="0.2">
      <c r="A558" t="s">
        <v>16</v>
      </c>
      <c r="B558" t="s">
        <v>113</v>
      </c>
      <c r="C558" t="s">
        <v>198</v>
      </c>
      <c r="D558">
        <v>12277</v>
      </c>
      <c r="I558">
        <v>12277</v>
      </c>
    </row>
    <row r="559" spans="1:12" x14ac:dyDescent="0.2">
      <c r="A559" t="s">
        <v>16</v>
      </c>
      <c r="B559" t="s">
        <v>72</v>
      </c>
      <c r="C559" t="s">
        <v>195</v>
      </c>
      <c r="D559">
        <v>14962</v>
      </c>
      <c r="E559">
        <v>14962</v>
      </c>
      <c r="F559">
        <v>14962</v>
      </c>
      <c r="G559">
        <v>14962</v>
      </c>
      <c r="I559">
        <v>13823</v>
      </c>
      <c r="J559">
        <v>14058</v>
      </c>
      <c r="K559">
        <v>14058</v>
      </c>
      <c r="L559">
        <v>14058</v>
      </c>
    </row>
    <row r="560" spans="1:12" x14ac:dyDescent="0.2">
      <c r="A560" t="s">
        <v>16</v>
      </c>
      <c r="B560" t="s">
        <v>72</v>
      </c>
      <c r="C560" t="s">
        <v>196</v>
      </c>
      <c r="D560">
        <v>24394</v>
      </c>
      <c r="E560">
        <v>23984</v>
      </c>
      <c r="F560">
        <v>23984</v>
      </c>
      <c r="I560">
        <v>21603</v>
      </c>
      <c r="J560">
        <v>22097</v>
      </c>
      <c r="K560">
        <v>22202</v>
      </c>
    </row>
    <row r="561" spans="1:10" x14ac:dyDescent="0.2">
      <c r="A561" t="s">
        <v>16</v>
      </c>
      <c r="B561" t="s">
        <v>72</v>
      </c>
      <c r="C561" t="s">
        <v>197</v>
      </c>
      <c r="D561">
        <v>20743.5</v>
      </c>
      <c r="E561">
        <v>20743.5</v>
      </c>
      <c r="I561">
        <v>15814</v>
      </c>
      <c r="J561">
        <v>16479</v>
      </c>
    </row>
    <row r="562" spans="1:10" x14ac:dyDescent="0.2">
      <c r="A562" t="s">
        <v>16</v>
      </c>
      <c r="B562" t="s">
        <v>72</v>
      </c>
      <c r="C562" t="s">
        <v>198</v>
      </c>
      <c r="D562">
        <v>20770.5</v>
      </c>
      <c r="I562">
        <v>15308</v>
      </c>
    </row>
    <row r="563" spans="1:10" x14ac:dyDescent="0.2">
      <c r="A563" t="s">
        <v>17</v>
      </c>
      <c r="B563" t="s">
        <v>109</v>
      </c>
      <c r="C563" t="s">
        <v>195</v>
      </c>
      <c r="D563">
        <v>42206.95</v>
      </c>
      <c r="E563">
        <v>42206.95</v>
      </c>
      <c r="I563">
        <v>5392.74</v>
      </c>
      <c r="J563">
        <v>7875.46</v>
      </c>
    </row>
    <row r="564" spans="1:10" x14ac:dyDescent="0.2">
      <c r="A564" t="s">
        <v>17</v>
      </c>
      <c r="B564" t="s">
        <v>109</v>
      </c>
      <c r="C564" t="s">
        <v>196</v>
      </c>
      <c r="D564">
        <v>73714.5</v>
      </c>
      <c r="I564">
        <v>0</v>
      </c>
    </row>
    <row r="565" spans="1:10" x14ac:dyDescent="0.2">
      <c r="A565" t="s">
        <v>17</v>
      </c>
      <c r="B565" t="s">
        <v>109</v>
      </c>
      <c r="C565" t="s">
        <v>197</v>
      </c>
    </row>
    <row r="566" spans="1:10" x14ac:dyDescent="0.2">
      <c r="A566" t="s">
        <v>17</v>
      </c>
      <c r="B566" t="s">
        <v>109</v>
      </c>
      <c r="C566" t="s">
        <v>198</v>
      </c>
    </row>
    <row r="567" spans="1:10" x14ac:dyDescent="0.2">
      <c r="A567" t="s">
        <v>17</v>
      </c>
      <c r="B567" t="s">
        <v>145</v>
      </c>
      <c r="C567" t="s">
        <v>195</v>
      </c>
    </row>
    <row r="568" spans="1:10" x14ac:dyDescent="0.2">
      <c r="A568" t="s">
        <v>17</v>
      </c>
      <c r="B568" t="s">
        <v>145</v>
      </c>
      <c r="C568" t="s">
        <v>196</v>
      </c>
    </row>
    <row r="569" spans="1:10" x14ac:dyDescent="0.2">
      <c r="A569" t="s">
        <v>17</v>
      </c>
      <c r="B569" t="s">
        <v>145</v>
      </c>
      <c r="C569" t="s">
        <v>197</v>
      </c>
    </row>
    <row r="570" spans="1:10" x14ac:dyDescent="0.2">
      <c r="A570" t="s">
        <v>17</v>
      </c>
      <c r="B570" t="s">
        <v>145</v>
      </c>
      <c r="C570" t="s">
        <v>198</v>
      </c>
    </row>
    <row r="571" spans="1:10" x14ac:dyDescent="0.2">
      <c r="A571" t="s">
        <v>17</v>
      </c>
      <c r="B571" t="s">
        <v>110</v>
      </c>
      <c r="C571" t="s">
        <v>195</v>
      </c>
      <c r="D571">
        <v>24047.5</v>
      </c>
      <c r="E571">
        <v>24097.5</v>
      </c>
      <c r="I571">
        <v>4755</v>
      </c>
      <c r="J571">
        <v>5005</v>
      </c>
    </row>
    <row r="572" spans="1:10" x14ac:dyDescent="0.2">
      <c r="A572" t="s">
        <v>17</v>
      </c>
      <c r="B572" t="s">
        <v>110</v>
      </c>
      <c r="C572" t="s">
        <v>196</v>
      </c>
      <c r="D572">
        <v>21464</v>
      </c>
      <c r="I572">
        <v>1998</v>
      </c>
    </row>
    <row r="573" spans="1:10" x14ac:dyDescent="0.2">
      <c r="A573" t="s">
        <v>17</v>
      </c>
      <c r="B573" t="s">
        <v>110</v>
      </c>
      <c r="C573" t="s">
        <v>197</v>
      </c>
    </row>
    <row r="574" spans="1:10" x14ac:dyDescent="0.2">
      <c r="A574" t="s">
        <v>17</v>
      </c>
      <c r="B574" t="s">
        <v>110</v>
      </c>
      <c r="C574" t="s">
        <v>198</v>
      </c>
    </row>
    <row r="575" spans="1:10" x14ac:dyDescent="0.2">
      <c r="A575" t="s">
        <v>17</v>
      </c>
      <c r="B575" t="s">
        <v>116</v>
      </c>
      <c r="C575" t="s">
        <v>195</v>
      </c>
      <c r="D575">
        <v>3310</v>
      </c>
      <c r="E575">
        <v>3310</v>
      </c>
      <c r="I575">
        <v>0</v>
      </c>
      <c r="J575">
        <v>0</v>
      </c>
    </row>
    <row r="576" spans="1:10" x14ac:dyDescent="0.2">
      <c r="A576" t="s">
        <v>17</v>
      </c>
      <c r="B576" t="s">
        <v>116</v>
      </c>
      <c r="C576" t="s">
        <v>196</v>
      </c>
      <c r="D576">
        <v>2520</v>
      </c>
      <c r="I576">
        <v>0</v>
      </c>
    </row>
    <row r="577" spans="1:11" x14ac:dyDescent="0.2">
      <c r="A577" t="s">
        <v>17</v>
      </c>
      <c r="B577" t="s">
        <v>116</v>
      </c>
      <c r="C577" t="s">
        <v>197</v>
      </c>
    </row>
    <row r="578" spans="1:11" x14ac:dyDescent="0.2">
      <c r="A578" t="s">
        <v>17</v>
      </c>
      <c r="B578" t="s">
        <v>116</v>
      </c>
      <c r="C578" t="s">
        <v>198</v>
      </c>
    </row>
    <row r="579" spans="1:11" x14ac:dyDescent="0.2">
      <c r="A579" t="s">
        <v>17</v>
      </c>
      <c r="B579" t="s">
        <v>114</v>
      </c>
      <c r="C579" t="s">
        <v>195</v>
      </c>
      <c r="D579">
        <v>9956</v>
      </c>
      <c r="E579">
        <v>42206.95</v>
      </c>
      <c r="F579">
        <v>10649</v>
      </c>
      <c r="I579">
        <v>1384</v>
      </c>
      <c r="J579">
        <v>7875.46</v>
      </c>
      <c r="K579">
        <v>2914</v>
      </c>
    </row>
    <row r="580" spans="1:11" x14ac:dyDescent="0.2">
      <c r="A580" t="s">
        <v>17</v>
      </c>
      <c r="B580" t="s">
        <v>114</v>
      </c>
      <c r="C580" t="s">
        <v>196</v>
      </c>
      <c r="D580">
        <v>73714.5</v>
      </c>
      <c r="E580">
        <v>9956</v>
      </c>
      <c r="I580">
        <v>0</v>
      </c>
      <c r="J580">
        <v>1974</v>
      </c>
    </row>
    <row r="581" spans="1:11" x14ac:dyDescent="0.2">
      <c r="A581" t="s">
        <v>17</v>
      </c>
      <c r="B581" t="s">
        <v>114</v>
      </c>
      <c r="C581" t="s">
        <v>197</v>
      </c>
      <c r="D581">
        <v>14846</v>
      </c>
      <c r="I581">
        <v>495</v>
      </c>
    </row>
    <row r="582" spans="1:11" x14ac:dyDescent="0.2">
      <c r="A582" t="s">
        <v>17</v>
      </c>
      <c r="B582" t="s">
        <v>114</v>
      </c>
      <c r="C582" t="s">
        <v>198</v>
      </c>
    </row>
    <row r="583" spans="1:11" x14ac:dyDescent="0.2">
      <c r="A583" t="s">
        <v>17</v>
      </c>
      <c r="B583" t="s">
        <v>111</v>
      </c>
      <c r="C583" t="s">
        <v>195</v>
      </c>
      <c r="D583">
        <v>9445</v>
      </c>
      <c r="E583">
        <v>9445</v>
      </c>
      <c r="I583">
        <v>8540</v>
      </c>
      <c r="J583">
        <v>9445</v>
      </c>
    </row>
    <row r="584" spans="1:11" x14ac:dyDescent="0.2">
      <c r="A584" t="s">
        <v>17</v>
      </c>
      <c r="B584" t="s">
        <v>111</v>
      </c>
      <c r="C584" t="s">
        <v>196</v>
      </c>
      <c r="D584">
        <v>14682</v>
      </c>
      <c r="I584">
        <v>14282</v>
      </c>
    </row>
    <row r="585" spans="1:11" x14ac:dyDescent="0.2">
      <c r="A585" t="s">
        <v>17</v>
      </c>
      <c r="B585" t="s">
        <v>111</v>
      </c>
      <c r="C585" t="s">
        <v>197</v>
      </c>
    </row>
    <row r="586" spans="1:11" x14ac:dyDescent="0.2">
      <c r="A586" t="s">
        <v>17</v>
      </c>
      <c r="B586" t="s">
        <v>111</v>
      </c>
      <c r="C586" t="s">
        <v>198</v>
      </c>
    </row>
    <row r="587" spans="1:11" x14ac:dyDescent="0.2">
      <c r="A587" t="s">
        <v>17</v>
      </c>
      <c r="B587" t="s">
        <v>112</v>
      </c>
      <c r="C587" t="s">
        <v>195</v>
      </c>
      <c r="D587">
        <v>42206.95</v>
      </c>
      <c r="E587">
        <v>13014</v>
      </c>
      <c r="I587">
        <v>5392.74</v>
      </c>
      <c r="J587">
        <v>12114</v>
      </c>
    </row>
    <row r="588" spans="1:11" x14ac:dyDescent="0.2">
      <c r="A588" t="s">
        <v>17</v>
      </c>
      <c r="B588" t="s">
        <v>112</v>
      </c>
      <c r="C588" t="s">
        <v>196</v>
      </c>
      <c r="D588">
        <v>11651.25</v>
      </c>
      <c r="I588">
        <v>11476.25</v>
      </c>
    </row>
    <row r="589" spans="1:11" x14ac:dyDescent="0.2">
      <c r="A589" t="s">
        <v>17</v>
      </c>
      <c r="B589" t="s">
        <v>112</v>
      </c>
      <c r="C589" t="s">
        <v>197</v>
      </c>
    </row>
    <row r="590" spans="1:11" x14ac:dyDescent="0.2">
      <c r="A590" t="s">
        <v>17</v>
      </c>
      <c r="B590" t="s">
        <v>112</v>
      </c>
      <c r="C590" t="s">
        <v>198</v>
      </c>
    </row>
    <row r="591" spans="1:11" x14ac:dyDescent="0.2">
      <c r="A591" t="s">
        <v>17</v>
      </c>
      <c r="B591" t="s">
        <v>115</v>
      </c>
      <c r="C591" t="s">
        <v>195</v>
      </c>
      <c r="D591">
        <v>42815.65</v>
      </c>
      <c r="E591">
        <v>41603.4</v>
      </c>
      <c r="I591">
        <v>20776.79</v>
      </c>
      <c r="J591">
        <v>30323.040000000001</v>
      </c>
    </row>
    <row r="592" spans="1:11" x14ac:dyDescent="0.2">
      <c r="A592" t="s">
        <v>17</v>
      </c>
      <c r="B592" t="s">
        <v>115</v>
      </c>
      <c r="C592" t="s">
        <v>196</v>
      </c>
      <c r="D592">
        <v>28797.25</v>
      </c>
      <c r="I592">
        <v>11693.99</v>
      </c>
    </row>
    <row r="593" spans="1:12" x14ac:dyDescent="0.2">
      <c r="A593" t="s">
        <v>17</v>
      </c>
      <c r="B593" t="s">
        <v>115</v>
      </c>
      <c r="C593" t="s">
        <v>197</v>
      </c>
    </row>
    <row r="594" spans="1:12" x14ac:dyDescent="0.2">
      <c r="A594" t="s">
        <v>17</v>
      </c>
      <c r="B594" t="s">
        <v>115</v>
      </c>
      <c r="C594" t="s">
        <v>198</v>
      </c>
    </row>
    <row r="595" spans="1:12" x14ac:dyDescent="0.2">
      <c r="A595" t="s">
        <v>17</v>
      </c>
      <c r="B595" t="s">
        <v>113</v>
      </c>
      <c r="C595" t="s">
        <v>195</v>
      </c>
      <c r="D595">
        <v>3415</v>
      </c>
      <c r="E595">
        <v>3415</v>
      </c>
      <c r="I595">
        <v>3415</v>
      </c>
      <c r="J595">
        <v>3415</v>
      </c>
    </row>
    <row r="596" spans="1:12" x14ac:dyDescent="0.2">
      <c r="A596" t="s">
        <v>17</v>
      </c>
      <c r="B596" t="s">
        <v>113</v>
      </c>
      <c r="C596" t="s">
        <v>196</v>
      </c>
      <c r="D596">
        <v>6830</v>
      </c>
      <c r="I596">
        <v>6430</v>
      </c>
    </row>
    <row r="597" spans="1:12" x14ac:dyDescent="0.2">
      <c r="A597" t="s">
        <v>17</v>
      </c>
      <c r="B597" t="s">
        <v>113</v>
      </c>
      <c r="C597" t="s">
        <v>197</v>
      </c>
    </row>
    <row r="598" spans="1:12" x14ac:dyDescent="0.2">
      <c r="A598" t="s">
        <v>17</v>
      </c>
      <c r="B598" t="s">
        <v>113</v>
      </c>
      <c r="C598" t="s">
        <v>198</v>
      </c>
    </row>
    <row r="599" spans="1:12" x14ac:dyDescent="0.2">
      <c r="A599" t="s">
        <v>17</v>
      </c>
      <c r="B599" t="s">
        <v>72</v>
      </c>
      <c r="C599" t="s">
        <v>195</v>
      </c>
      <c r="D599">
        <v>9985.5</v>
      </c>
      <c r="E599">
        <v>9985.5</v>
      </c>
      <c r="I599">
        <v>9685.5</v>
      </c>
      <c r="J599">
        <v>9685.5</v>
      </c>
    </row>
    <row r="600" spans="1:12" x14ac:dyDescent="0.2">
      <c r="A600" t="s">
        <v>17</v>
      </c>
      <c r="B600" t="s">
        <v>72</v>
      </c>
      <c r="C600" t="s">
        <v>196</v>
      </c>
      <c r="D600">
        <v>7145</v>
      </c>
      <c r="I600">
        <v>7145</v>
      </c>
    </row>
    <row r="601" spans="1:12" x14ac:dyDescent="0.2">
      <c r="A601" t="s">
        <v>17</v>
      </c>
      <c r="B601" t="s">
        <v>72</v>
      </c>
      <c r="C601" t="s">
        <v>197</v>
      </c>
    </row>
    <row r="602" spans="1:12" x14ac:dyDescent="0.2">
      <c r="A602" t="s">
        <v>17</v>
      </c>
      <c r="B602" t="s">
        <v>72</v>
      </c>
      <c r="C602" t="s">
        <v>198</v>
      </c>
    </row>
    <row r="603" spans="1:12" x14ac:dyDescent="0.2">
      <c r="A603" t="s">
        <v>18</v>
      </c>
      <c r="B603" t="s">
        <v>109</v>
      </c>
      <c r="C603" t="s">
        <v>195</v>
      </c>
      <c r="D603">
        <v>2318191.88</v>
      </c>
      <c r="E603">
        <v>2409410.88</v>
      </c>
      <c r="F603">
        <v>2461060.88</v>
      </c>
      <c r="G603">
        <v>2460926.88</v>
      </c>
      <c r="I603">
        <v>35784.57</v>
      </c>
      <c r="J603">
        <v>59426.38</v>
      </c>
      <c r="K603">
        <v>78731.199999999997</v>
      </c>
      <c r="L603">
        <v>99363.28</v>
      </c>
    </row>
    <row r="604" spans="1:12" x14ac:dyDescent="0.2">
      <c r="A604" t="s">
        <v>18</v>
      </c>
      <c r="B604" t="s">
        <v>109</v>
      </c>
      <c r="C604" t="s">
        <v>196</v>
      </c>
      <c r="D604">
        <v>3537182.63</v>
      </c>
      <c r="E604">
        <v>3528319.13</v>
      </c>
      <c r="F604">
        <v>3528841.13</v>
      </c>
      <c r="I604">
        <v>28433.74</v>
      </c>
      <c r="J604">
        <v>57018.29</v>
      </c>
      <c r="K604">
        <v>73517.67</v>
      </c>
    </row>
    <row r="605" spans="1:12" x14ac:dyDescent="0.2">
      <c r="A605" t="s">
        <v>18</v>
      </c>
      <c r="B605" t="s">
        <v>109</v>
      </c>
      <c r="C605" t="s">
        <v>197</v>
      </c>
      <c r="D605">
        <v>1806983.69</v>
      </c>
      <c r="E605">
        <v>1791012.69</v>
      </c>
      <c r="I605">
        <v>23370.2</v>
      </c>
      <c r="J605">
        <v>43504.79</v>
      </c>
    </row>
    <row r="606" spans="1:12" x14ac:dyDescent="0.2">
      <c r="A606" t="s">
        <v>18</v>
      </c>
      <c r="B606" t="s">
        <v>109</v>
      </c>
      <c r="C606" t="s">
        <v>198</v>
      </c>
      <c r="D606">
        <v>2783504.57</v>
      </c>
      <c r="I606">
        <v>36133</v>
      </c>
    </row>
    <row r="607" spans="1:12" x14ac:dyDescent="0.2">
      <c r="A607" t="s">
        <v>18</v>
      </c>
      <c r="B607" t="s">
        <v>145</v>
      </c>
      <c r="C607" t="s">
        <v>195</v>
      </c>
      <c r="D607">
        <v>1271882.3600000001</v>
      </c>
      <c r="E607">
        <v>1376780.36</v>
      </c>
      <c r="F607">
        <v>1429280.36</v>
      </c>
      <c r="G607">
        <v>1429330.36</v>
      </c>
      <c r="I607">
        <v>5671.32</v>
      </c>
      <c r="J607">
        <v>7317.32</v>
      </c>
      <c r="K607">
        <v>7317.32</v>
      </c>
      <c r="L607">
        <v>7317.32</v>
      </c>
    </row>
    <row r="608" spans="1:12" x14ac:dyDescent="0.2">
      <c r="A608" t="s">
        <v>18</v>
      </c>
      <c r="B608" t="s">
        <v>145</v>
      </c>
      <c r="C608" t="s">
        <v>196</v>
      </c>
      <c r="D608">
        <v>2343422.0699999998</v>
      </c>
      <c r="E608">
        <v>2343422.0699999998</v>
      </c>
      <c r="F608">
        <v>2343422.0699999998</v>
      </c>
      <c r="I608">
        <v>585.14</v>
      </c>
      <c r="J608">
        <v>1349.56</v>
      </c>
      <c r="K608">
        <v>1812.28</v>
      </c>
    </row>
    <row r="609" spans="1:12" x14ac:dyDescent="0.2">
      <c r="A609" t="s">
        <v>18</v>
      </c>
      <c r="B609" t="s">
        <v>145</v>
      </c>
      <c r="C609" t="s">
        <v>197</v>
      </c>
      <c r="D609">
        <v>690091</v>
      </c>
      <c r="E609">
        <v>690241</v>
      </c>
      <c r="I609">
        <v>80</v>
      </c>
      <c r="J609">
        <v>208</v>
      </c>
    </row>
    <row r="610" spans="1:12" x14ac:dyDescent="0.2">
      <c r="A610" t="s">
        <v>18</v>
      </c>
      <c r="B610" t="s">
        <v>145</v>
      </c>
      <c r="C610" t="s">
        <v>198</v>
      </c>
      <c r="D610">
        <v>1730049.28</v>
      </c>
      <c r="I610">
        <v>1084.04</v>
      </c>
    </row>
    <row r="611" spans="1:12" x14ac:dyDescent="0.2">
      <c r="A611" t="s">
        <v>18</v>
      </c>
      <c r="B611" t="s">
        <v>110</v>
      </c>
      <c r="C611" t="s">
        <v>195</v>
      </c>
      <c r="D611">
        <v>1006934.98</v>
      </c>
      <c r="E611">
        <v>1003720.22</v>
      </c>
      <c r="F611">
        <v>1000732.22</v>
      </c>
      <c r="G611">
        <v>995971.22</v>
      </c>
      <c r="I611">
        <v>65632.88</v>
      </c>
      <c r="J611">
        <v>176930.08</v>
      </c>
      <c r="K611">
        <v>221813.91</v>
      </c>
      <c r="L611">
        <v>242895.61</v>
      </c>
    </row>
    <row r="612" spans="1:12" x14ac:dyDescent="0.2">
      <c r="A612" t="s">
        <v>18</v>
      </c>
      <c r="B612" t="s">
        <v>110</v>
      </c>
      <c r="C612" t="s">
        <v>196</v>
      </c>
      <c r="D612">
        <v>1148894.57</v>
      </c>
      <c r="E612">
        <v>1147045.57</v>
      </c>
      <c r="F612">
        <v>1133750.07</v>
      </c>
      <c r="I612">
        <v>102766.34</v>
      </c>
      <c r="J612">
        <v>188321.94</v>
      </c>
      <c r="K612">
        <v>225693.98</v>
      </c>
    </row>
    <row r="613" spans="1:12" x14ac:dyDescent="0.2">
      <c r="A613" t="s">
        <v>18</v>
      </c>
      <c r="B613" t="s">
        <v>110</v>
      </c>
      <c r="C613" t="s">
        <v>197</v>
      </c>
      <c r="D613">
        <v>1100780.5900000001</v>
      </c>
      <c r="E613">
        <v>1093351.5900000001</v>
      </c>
      <c r="I613">
        <v>103809.13</v>
      </c>
      <c r="J613">
        <v>186301.78</v>
      </c>
    </row>
    <row r="614" spans="1:12" x14ac:dyDescent="0.2">
      <c r="A614" t="s">
        <v>18</v>
      </c>
      <c r="B614" t="s">
        <v>110</v>
      </c>
      <c r="C614" t="s">
        <v>198</v>
      </c>
      <c r="D614">
        <v>999007.11</v>
      </c>
      <c r="I614">
        <v>73720.03</v>
      </c>
    </row>
    <row r="615" spans="1:12" x14ac:dyDescent="0.2">
      <c r="A615" t="s">
        <v>18</v>
      </c>
      <c r="B615" t="s">
        <v>116</v>
      </c>
      <c r="C615" t="s">
        <v>195</v>
      </c>
      <c r="D615">
        <v>61489.5</v>
      </c>
      <c r="E615">
        <v>63847.5</v>
      </c>
      <c r="F615">
        <v>62042.5</v>
      </c>
      <c r="G615">
        <v>61592.5</v>
      </c>
      <c r="I615">
        <v>2574.5</v>
      </c>
      <c r="J615">
        <v>4020.5</v>
      </c>
      <c r="K615">
        <v>4476.5</v>
      </c>
      <c r="L615">
        <v>5085.5</v>
      </c>
    </row>
    <row r="616" spans="1:12" x14ac:dyDescent="0.2">
      <c r="A616" t="s">
        <v>18</v>
      </c>
      <c r="B616" t="s">
        <v>116</v>
      </c>
      <c r="C616" t="s">
        <v>196</v>
      </c>
      <c r="D616">
        <v>56120.5</v>
      </c>
      <c r="E616">
        <v>53757.5</v>
      </c>
      <c r="F616">
        <v>53357.5</v>
      </c>
      <c r="I616">
        <v>2145.5</v>
      </c>
      <c r="J616">
        <v>2870.5</v>
      </c>
      <c r="K616">
        <v>3086.55</v>
      </c>
    </row>
    <row r="617" spans="1:12" x14ac:dyDescent="0.2">
      <c r="A617" t="s">
        <v>18</v>
      </c>
      <c r="B617" t="s">
        <v>116</v>
      </c>
      <c r="C617" t="s">
        <v>197</v>
      </c>
      <c r="D617">
        <v>56390.5</v>
      </c>
      <c r="E617">
        <v>5014.5</v>
      </c>
      <c r="I617">
        <v>1258.5</v>
      </c>
      <c r="J617">
        <v>1700.5</v>
      </c>
    </row>
    <row r="618" spans="1:12" x14ac:dyDescent="0.2">
      <c r="A618" t="s">
        <v>18</v>
      </c>
      <c r="B618" t="s">
        <v>116</v>
      </c>
      <c r="C618" t="s">
        <v>198</v>
      </c>
      <c r="D618">
        <v>47997.33</v>
      </c>
      <c r="I618">
        <v>935.89</v>
      </c>
    </row>
    <row r="619" spans="1:12" x14ac:dyDescent="0.2">
      <c r="A619" t="s">
        <v>18</v>
      </c>
      <c r="B619" t="s">
        <v>114</v>
      </c>
      <c r="C619" t="s">
        <v>195</v>
      </c>
      <c r="D619">
        <v>1695186.35</v>
      </c>
      <c r="E619">
        <v>1653899.27</v>
      </c>
      <c r="F619">
        <v>1644504.83</v>
      </c>
      <c r="G619">
        <v>1637718.33</v>
      </c>
      <c r="I619">
        <v>288528.40999999997</v>
      </c>
      <c r="J619">
        <v>648253.06000000006</v>
      </c>
      <c r="K619">
        <v>797046.91</v>
      </c>
      <c r="L619">
        <v>885715.7</v>
      </c>
    </row>
    <row r="620" spans="1:12" x14ac:dyDescent="0.2">
      <c r="A620" t="s">
        <v>18</v>
      </c>
      <c r="B620" t="s">
        <v>114</v>
      </c>
      <c r="C620" t="s">
        <v>196</v>
      </c>
      <c r="D620">
        <v>1947998.27</v>
      </c>
      <c r="E620">
        <v>1880583.02</v>
      </c>
      <c r="F620">
        <v>1867949.77</v>
      </c>
      <c r="I620">
        <v>367105.96</v>
      </c>
      <c r="J620">
        <v>705475.99</v>
      </c>
      <c r="K620">
        <v>869687.64</v>
      </c>
    </row>
    <row r="621" spans="1:12" x14ac:dyDescent="0.2">
      <c r="A621" t="s">
        <v>18</v>
      </c>
      <c r="B621" t="s">
        <v>114</v>
      </c>
      <c r="C621" t="s">
        <v>197</v>
      </c>
      <c r="D621">
        <v>2026220.59</v>
      </c>
      <c r="E621">
        <v>1944084.94</v>
      </c>
      <c r="I621">
        <v>323718.25</v>
      </c>
      <c r="J621">
        <v>646248.54</v>
      </c>
    </row>
    <row r="622" spans="1:12" x14ac:dyDescent="0.2">
      <c r="A622" t="s">
        <v>18</v>
      </c>
      <c r="B622" t="s">
        <v>114</v>
      </c>
      <c r="C622" t="s">
        <v>198</v>
      </c>
      <c r="D622">
        <v>1705065.97</v>
      </c>
      <c r="I622">
        <v>268893.65999999997</v>
      </c>
    </row>
    <row r="623" spans="1:12" x14ac:dyDescent="0.2">
      <c r="A623" t="s">
        <v>18</v>
      </c>
      <c r="B623" t="s">
        <v>111</v>
      </c>
      <c r="C623" t="s">
        <v>195</v>
      </c>
      <c r="D623">
        <v>1354132.61</v>
      </c>
      <c r="E623">
        <v>1347061.61</v>
      </c>
      <c r="F623">
        <v>1338239.1100000001</v>
      </c>
      <c r="G623">
        <v>1333714.6100000001</v>
      </c>
      <c r="I623">
        <v>1349571.72</v>
      </c>
      <c r="J623">
        <v>1344605.72</v>
      </c>
      <c r="K623">
        <v>1335363.22</v>
      </c>
      <c r="L623">
        <v>1331198.2</v>
      </c>
    </row>
    <row r="624" spans="1:12" x14ac:dyDescent="0.2">
      <c r="A624" t="s">
        <v>18</v>
      </c>
      <c r="B624" t="s">
        <v>111</v>
      </c>
      <c r="C624" t="s">
        <v>196</v>
      </c>
      <c r="D624">
        <v>1818765.6</v>
      </c>
      <c r="E624">
        <v>1791856.75</v>
      </c>
      <c r="F624">
        <v>1784654.25</v>
      </c>
      <c r="I624">
        <v>1811982.75</v>
      </c>
      <c r="J624">
        <v>1790275.75</v>
      </c>
      <c r="K624">
        <v>1783413.25</v>
      </c>
    </row>
    <row r="625" spans="1:12" x14ac:dyDescent="0.2">
      <c r="A625" t="s">
        <v>18</v>
      </c>
      <c r="B625" t="s">
        <v>111</v>
      </c>
      <c r="C625" t="s">
        <v>197</v>
      </c>
      <c r="D625">
        <v>1881576.06</v>
      </c>
      <c r="E625">
        <v>1868197.06</v>
      </c>
      <c r="I625">
        <v>1878876.75</v>
      </c>
      <c r="J625">
        <v>1867994.75</v>
      </c>
    </row>
    <row r="626" spans="1:12" x14ac:dyDescent="0.2">
      <c r="A626" t="s">
        <v>18</v>
      </c>
      <c r="B626" t="s">
        <v>111</v>
      </c>
      <c r="C626" t="s">
        <v>198</v>
      </c>
      <c r="D626">
        <v>1555810.48</v>
      </c>
      <c r="I626">
        <v>1547600.03</v>
      </c>
    </row>
    <row r="627" spans="1:12" x14ac:dyDescent="0.2">
      <c r="A627" t="s">
        <v>18</v>
      </c>
      <c r="B627" t="s">
        <v>112</v>
      </c>
      <c r="C627" t="s">
        <v>195</v>
      </c>
      <c r="D627">
        <v>1486089.27</v>
      </c>
      <c r="E627">
        <v>1483746.77</v>
      </c>
      <c r="F627">
        <v>1481495.5</v>
      </c>
      <c r="G627">
        <v>1479043</v>
      </c>
      <c r="I627">
        <v>1445622.63</v>
      </c>
      <c r="J627">
        <v>1446735.2</v>
      </c>
      <c r="K627">
        <v>1444393.93</v>
      </c>
      <c r="L627">
        <v>1442131.43</v>
      </c>
    </row>
    <row r="628" spans="1:12" x14ac:dyDescent="0.2">
      <c r="A628" t="s">
        <v>18</v>
      </c>
      <c r="B628" t="s">
        <v>112</v>
      </c>
      <c r="C628" t="s">
        <v>196</v>
      </c>
      <c r="D628">
        <v>1825204.15</v>
      </c>
      <c r="E628">
        <v>1821140.65</v>
      </c>
      <c r="F628">
        <v>1818830.65</v>
      </c>
      <c r="I628">
        <v>1821401.21</v>
      </c>
      <c r="J628">
        <v>1819939.71</v>
      </c>
      <c r="K628">
        <v>1817629.71</v>
      </c>
    </row>
    <row r="629" spans="1:12" x14ac:dyDescent="0.2">
      <c r="A629" t="s">
        <v>18</v>
      </c>
      <c r="B629" t="s">
        <v>112</v>
      </c>
      <c r="C629" t="s">
        <v>197</v>
      </c>
      <c r="D629">
        <v>2174811.62</v>
      </c>
      <c r="E629">
        <v>2172539.62</v>
      </c>
      <c r="I629">
        <v>2171733.62</v>
      </c>
      <c r="J629">
        <v>2172740.12</v>
      </c>
    </row>
    <row r="630" spans="1:12" x14ac:dyDescent="0.2">
      <c r="A630" t="s">
        <v>18</v>
      </c>
      <c r="B630" t="s">
        <v>112</v>
      </c>
      <c r="C630" t="s">
        <v>198</v>
      </c>
      <c r="D630">
        <v>1820760.46</v>
      </c>
      <c r="I630">
        <v>1815288.96</v>
      </c>
    </row>
    <row r="631" spans="1:12" x14ac:dyDescent="0.2">
      <c r="A631" t="s">
        <v>18</v>
      </c>
      <c r="B631" t="s">
        <v>115</v>
      </c>
      <c r="C631" t="s">
        <v>195</v>
      </c>
      <c r="D631">
        <v>4061759.37</v>
      </c>
      <c r="E631">
        <v>4241333.6100000003</v>
      </c>
      <c r="F631">
        <v>4251527.12</v>
      </c>
      <c r="G631">
        <v>4251449.12</v>
      </c>
      <c r="I631">
        <v>1602893.85</v>
      </c>
      <c r="J631">
        <v>3025040.21</v>
      </c>
      <c r="K631">
        <v>3330053.7</v>
      </c>
      <c r="L631">
        <v>3443348.96</v>
      </c>
    </row>
    <row r="632" spans="1:12" x14ac:dyDescent="0.2">
      <c r="A632" t="s">
        <v>18</v>
      </c>
      <c r="B632" t="s">
        <v>115</v>
      </c>
      <c r="C632" t="s">
        <v>196</v>
      </c>
      <c r="D632">
        <v>5477365.7300000004</v>
      </c>
      <c r="E632">
        <v>5661082.7300000004</v>
      </c>
      <c r="F632">
        <v>5663160.9800000004</v>
      </c>
      <c r="I632">
        <v>2436419.84</v>
      </c>
      <c r="J632">
        <v>4128675.76</v>
      </c>
      <c r="K632">
        <v>4507593.91</v>
      </c>
    </row>
    <row r="633" spans="1:12" x14ac:dyDescent="0.2">
      <c r="A633" t="s">
        <v>18</v>
      </c>
      <c r="B633" t="s">
        <v>115</v>
      </c>
      <c r="C633" t="s">
        <v>197</v>
      </c>
      <c r="D633">
        <v>5397194.1100000003</v>
      </c>
      <c r="E633">
        <v>5556575.7999999998</v>
      </c>
      <c r="I633">
        <v>2332904.2400000002</v>
      </c>
      <c r="J633">
        <v>3965494.15</v>
      </c>
    </row>
    <row r="634" spans="1:12" x14ac:dyDescent="0.2">
      <c r="A634" t="s">
        <v>18</v>
      </c>
      <c r="B634" t="s">
        <v>115</v>
      </c>
      <c r="C634" t="s">
        <v>198</v>
      </c>
      <c r="D634">
        <v>5034383.51</v>
      </c>
      <c r="I634">
        <v>2175227.35</v>
      </c>
    </row>
    <row r="635" spans="1:12" x14ac:dyDescent="0.2">
      <c r="A635" t="s">
        <v>18</v>
      </c>
      <c r="B635" t="s">
        <v>113</v>
      </c>
      <c r="C635" t="s">
        <v>195</v>
      </c>
      <c r="D635">
        <v>224843</v>
      </c>
      <c r="E635">
        <v>224443</v>
      </c>
      <c r="F635">
        <v>223698</v>
      </c>
      <c r="G635">
        <v>223698</v>
      </c>
      <c r="I635">
        <v>221664</v>
      </c>
      <c r="J635">
        <v>223112</v>
      </c>
      <c r="K635">
        <v>222598</v>
      </c>
      <c r="L635">
        <v>222598</v>
      </c>
    </row>
    <row r="636" spans="1:12" x14ac:dyDescent="0.2">
      <c r="A636" t="s">
        <v>18</v>
      </c>
      <c r="B636" t="s">
        <v>113</v>
      </c>
      <c r="C636" t="s">
        <v>196</v>
      </c>
      <c r="D636">
        <v>274066.40999999997</v>
      </c>
      <c r="E636">
        <v>274062.40999999997</v>
      </c>
      <c r="F636">
        <v>274062.40999999997</v>
      </c>
      <c r="I636">
        <v>270886.40999999997</v>
      </c>
      <c r="J636">
        <v>272041.40999999997</v>
      </c>
      <c r="K636">
        <v>272041.40999999997</v>
      </c>
    </row>
    <row r="637" spans="1:12" x14ac:dyDescent="0.2">
      <c r="A637" t="s">
        <v>18</v>
      </c>
      <c r="B637" t="s">
        <v>113</v>
      </c>
      <c r="C637" t="s">
        <v>197</v>
      </c>
      <c r="D637">
        <v>260631.11</v>
      </c>
      <c r="E637">
        <v>260400.11</v>
      </c>
      <c r="I637">
        <v>258031.11</v>
      </c>
      <c r="J637">
        <v>258955.11</v>
      </c>
    </row>
    <row r="638" spans="1:12" x14ac:dyDescent="0.2">
      <c r="A638" t="s">
        <v>18</v>
      </c>
      <c r="B638" t="s">
        <v>113</v>
      </c>
      <c r="C638" t="s">
        <v>198</v>
      </c>
      <c r="D638">
        <v>233982.5</v>
      </c>
      <c r="I638">
        <v>230685.5</v>
      </c>
    </row>
    <row r="639" spans="1:12" x14ac:dyDescent="0.2">
      <c r="A639" t="s">
        <v>18</v>
      </c>
      <c r="B639" t="s">
        <v>72</v>
      </c>
      <c r="C639" t="s">
        <v>195</v>
      </c>
      <c r="D639">
        <v>453204.84</v>
      </c>
      <c r="E639">
        <v>453553.84</v>
      </c>
      <c r="F639">
        <v>453972.84</v>
      </c>
      <c r="G639">
        <v>454080.84</v>
      </c>
      <c r="I639">
        <v>448274.95</v>
      </c>
      <c r="J639">
        <v>448324.95</v>
      </c>
      <c r="K639">
        <v>448743.95</v>
      </c>
      <c r="L639">
        <v>449152.95</v>
      </c>
    </row>
    <row r="640" spans="1:12" x14ac:dyDescent="0.2">
      <c r="A640" t="s">
        <v>18</v>
      </c>
      <c r="B640" t="s">
        <v>72</v>
      </c>
      <c r="C640" t="s">
        <v>196</v>
      </c>
      <c r="D640">
        <v>542989.5</v>
      </c>
      <c r="E640">
        <v>543137.67000000004</v>
      </c>
      <c r="F640">
        <v>542751.67000000004</v>
      </c>
      <c r="I640">
        <v>533294.67000000004</v>
      </c>
      <c r="J640">
        <v>533797.67000000004</v>
      </c>
      <c r="K640">
        <v>534625.67000000004</v>
      </c>
    </row>
    <row r="641" spans="1:12" x14ac:dyDescent="0.2">
      <c r="A641" t="s">
        <v>18</v>
      </c>
      <c r="B641" t="s">
        <v>72</v>
      </c>
      <c r="C641" t="s">
        <v>197</v>
      </c>
      <c r="D641">
        <v>557161</v>
      </c>
      <c r="E641">
        <v>557905</v>
      </c>
      <c r="I641">
        <v>542104</v>
      </c>
      <c r="J641">
        <v>542955</v>
      </c>
    </row>
    <row r="642" spans="1:12" x14ac:dyDescent="0.2">
      <c r="A642" t="s">
        <v>18</v>
      </c>
      <c r="B642" t="s">
        <v>72</v>
      </c>
      <c r="C642" t="s">
        <v>198</v>
      </c>
      <c r="D642">
        <v>477049.5</v>
      </c>
      <c r="I642">
        <v>469984.5</v>
      </c>
    </row>
    <row r="643" spans="1:12" x14ac:dyDescent="0.2">
      <c r="A643" t="s">
        <v>19</v>
      </c>
      <c r="B643" t="s">
        <v>109</v>
      </c>
      <c r="C643" t="s">
        <v>195</v>
      </c>
      <c r="D643">
        <v>1422955.93</v>
      </c>
      <c r="E643">
        <v>1525460.93</v>
      </c>
      <c r="F643">
        <v>1521608.71</v>
      </c>
      <c r="G643">
        <v>1518038.71</v>
      </c>
      <c r="I643">
        <v>42735.8</v>
      </c>
      <c r="J643">
        <v>61221.8</v>
      </c>
      <c r="K643">
        <v>77603.86</v>
      </c>
      <c r="L643">
        <v>96953.74</v>
      </c>
    </row>
    <row r="644" spans="1:12" x14ac:dyDescent="0.2">
      <c r="A644" t="s">
        <v>19</v>
      </c>
      <c r="B644" t="s">
        <v>109</v>
      </c>
      <c r="C644" t="s">
        <v>196</v>
      </c>
      <c r="D644">
        <v>1156843.45</v>
      </c>
      <c r="E644">
        <v>1153675.45</v>
      </c>
      <c r="F644">
        <v>1149661.45</v>
      </c>
      <c r="I644">
        <v>47893.62</v>
      </c>
      <c r="J644">
        <v>66162.31</v>
      </c>
      <c r="K644">
        <v>84064.28</v>
      </c>
    </row>
    <row r="645" spans="1:12" x14ac:dyDescent="0.2">
      <c r="A645" t="s">
        <v>19</v>
      </c>
      <c r="B645" t="s">
        <v>109</v>
      </c>
      <c r="C645" t="s">
        <v>197</v>
      </c>
      <c r="D645">
        <v>1663382.75</v>
      </c>
      <c r="E645">
        <v>1650184.1</v>
      </c>
      <c r="I645">
        <v>46678.14</v>
      </c>
      <c r="J645">
        <v>71546.100000000006</v>
      </c>
    </row>
    <row r="646" spans="1:12" x14ac:dyDescent="0.2">
      <c r="A646" t="s">
        <v>19</v>
      </c>
      <c r="B646" t="s">
        <v>109</v>
      </c>
      <c r="C646" t="s">
        <v>198</v>
      </c>
      <c r="D646">
        <v>3290542.33</v>
      </c>
      <c r="I646">
        <v>50296.33</v>
      </c>
    </row>
    <row r="647" spans="1:12" x14ac:dyDescent="0.2">
      <c r="A647" t="s">
        <v>19</v>
      </c>
      <c r="B647" t="s">
        <v>145</v>
      </c>
      <c r="C647" t="s">
        <v>195</v>
      </c>
      <c r="D647">
        <v>426327</v>
      </c>
      <c r="E647">
        <v>531428</v>
      </c>
      <c r="F647">
        <v>531378</v>
      </c>
      <c r="G647">
        <v>531378</v>
      </c>
      <c r="I647">
        <v>112</v>
      </c>
      <c r="J647">
        <v>113</v>
      </c>
      <c r="K647">
        <v>113</v>
      </c>
      <c r="L647">
        <v>120</v>
      </c>
    </row>
    <row r="648" spans="1:12" x14ac:dyDescent="0.2">
      <c r="A648" t="s">
        <v>19</v>
      </c>
      <c r="B648" t="s">
        <v>145</v>
      </c>
      <c r="C648" t="s">
        <v>196</v>
      </c>
      <c r="D648">
        <v>264301</v>
      </c>
      <c r="E648">
        <v>264251</v>
      </c>
      <c r="F648">
        <v>264251</v>
      </c>
      <c r="I648">
        <v>245</v>
      </c>
      <c r="J648">
        <v>195</v>
      </c>
      <c r="K648">
        <v>195</v>
      </c>
    </row>
    <row r="649" spans="1:12" x14ac:dyDescent="0.2">
      <c r="A649" t="s">
        <v>19</v>
      </c>
      <c r="B649" t="s">
        <v>145</v>
      </c>
      <c r="C649" t="s">
        <v>197</v>
      </c>
      <c r="D649">
        <v>687675</v>
      </c>
      <c r="E649">
        <v>687675</v>
      </c>
      <c r="I649">
        <v>157</v>
      </c>
      <c r="J649">
        <v>157</v>
      </c>
    </row>
    <row r="650" spans="1:12" x14ac:dyDescent="0.2">
      <c r="A650" t="s">
        <v>19</v>
      </c>
      <c r="B650" t="s">
        <v>145</v>
      </c>
      <c r="C650" t="s">
        <v>198</v>
      </c>
      <c r="D650">
        <v>1702434</v>
      </c>
      <c r="I650">
        <v>236</v>
      </c>
    </row>
    <row r="651" spans="1:12" x14ac:dyDescent="0.2">
      <c r="A651" t="s">
        <v>19</v>
      </c>
      <c r="B651" t="s">
        <v>110</v>
      </c>
      <c r="C651" t="s">
        <v>195</v>
      </c>
      <c r="D651">
        <v>720949.25</v>
      </c>
      <c r="E651">
        <v>706786.7</v>
      </c>
      <c r="F651">
        <v>704723.57</v>
      </c>
      <c r="G651">
        <v>700810.27</v>
      </c>
      <c r="I651">
        <v>147823.93</v>
      </c>
      <c r="J651">
        <v>218492</v>
      </c>
      <c r="K651">
        <v>258134.57</v>
      </c>
      <c r="L651">
        <v>294551.14</v>
      </c>
    </row>
    <row r="652" spans="1:12" x14ac:dyDescent="0.2">
      <c r="A652" t="s">
        <v>19</v>
      </c>
      <c r="B652" t="s">
        <v>110</v>
      </c>
      <c r="C652" t="s">
        <v>196</v>
      </c>
      <c r="D652">
        <v>706891.05</v>
      </c>
      <c r="E652">
        <v>703564.55</v>
      </c>
      <c r="F652">
        <v>699383.55</v>
      </c>
      <c r="I652">
        <v>174663</v>
      </c>
      <c r="J652">
        <v>237991.9</v>
      </c>
      <c r="K652">
        <v>275838.05</v>
      </c>
    </row>
    <row r="653" spans="1:12" x14ac:dyDescent="0.2">
      <c r="A653" t="s">
        <v>19</v>
      </c>
      <c r="B653" t="s">
        <v>110</v>
      </c>
      <c r="C653" t="s">
        <v>197</v>
      </c>
      <c r="D653">
        <v>777784</v>
      </c>
      <c r="E653">
        <v>772419.5</v>
      </c>
      <c r="I653">
        <v>161962.63</v>
      </c>
      <c r="J653">
        <v>218162.4</v>
      </c>
    </row>
    <row r="654" spans="1:12" x14ac:dyDescent="0.2">
      <c r="A654" t="s">
        <v>19</v>
      </c>
      <c r="B654" t="s">
        <v>110</v>
      </c>
      <c r="C654" t="s">
        <v>198</v>
      </c>
      <c r="D654">
        <v>883108.52</v>
      </c>
      <c r="I654">
        <v>188744.97</v>
      </c>
    </row>
    <row r="655" spans="1:12" x14ac:dyDescent="0.2">
      <c r="A655" t="s">
        <v>19</v>
      </c>
      <c r="B655" t="s">
        <v>116</v>
      </c>
      <c r="C655" t="s">
        <v>195</v>
      </c>
      <c r="D655">
        <v>99855.65</v>
      </c>
      <c r="E655">
        <v>97885.24</v>
      </c>
      <c r="F655">
        <v>95735.17</v>
      </c>
      <c r="G655">
        <v>92957.84</v>
      </c>
      <c r="I655">
        <v>5082.3</v>
      </c>
      <c r="J655">
        <v>6364.8</v>
      </c>
      <c r="K655">
        <v>7094.9</v>
      </c>
      <c r="L655">
        <v>7401.9</v>
      </c>
    </row>
    <row r="656" spans="1:12" x14ac:dyDescent="0.2">
      <c r="A656" t="s">
        <v>19</v>
      </c>
      <c r="B656" t="s">
        <v>116</v>
      </c>
      <c r="C656" t="s">
        <v>196</v>
      </c>
      <c r="D656">
        <v>125552.95</v>
      </c>
      <c r="E656">
        <v>126172.9</v>
      </c>
      <c r="F656">
        <v>124591.5</v>
      </c>
      <c r="I656">
        <v>4783.1000000000004</v>
      </c>
      <c r="J656">
        <v>6391.25</v>
      </c>
      <c r="K656">
        <v>8338.25</v>
      </c>
    </row>
    <row r="657" spans="1:12" x14ac:dyDescent="0.2">
      <c r="A657" t="s">
        <v>19</v>
      </c>
      <c r="B657" t="s">
        <v>116</v>
      </c>
      <c r="C657" t="s">
        <v>197</v>
      </c>
      <c r="D657">
        <v>126522.5</v>
      </c>
      <c r="E657">
        <v>123976.8</v>
      </c>
      <c r="I657">
        <v>4557.1499999999996</v>
      </c>
      <c r="J657">
        <v>5584.65</v>
      </c>
    </row>
    <row r="658" spans="1:12" x14ac:dyDescent="0.2">
      <c r="A658" t="s">
        <v>19</v>
      </c>
      <c r="B658" t="s">
        <v>116</v>
      </c>
      <c r="C658" t="s">
        <v>198</v>
      </c>
      <c r="D658">
        <v>95188.65</v>
      </c>
      <c r="I658">
        <v>3614.2</v>
      </c>
    </row>
    <row r="659" spans="1:12" x14ac:dyDescent="0.2">
      <c r="A659" t="s">
        <v>19</v>
      </c>
      <c r="B659" t="s">
        <v>114</v>
      </c>
      <c r="C659" t="s">
        <v>195</v>
      </c>
      <c r="D659">
        <v>374279.35</v>
      </c>
      <c r="E659">
        <v>372986.35</v>
      </c>
      <c r="F659">
        <v>371601.35</v>
      </c>
      <c r="G659">
        <v>371807.35</v>
      </c>
      <c r="I659">
        <v>77448.850000000006</v>
      </c>
      <c r="J659">
        <v>123612.93</v>
      </c>
      <c r="K659">
        <v>145123.84</v>
      </c>
      <c r="L659">
        <v>157695.35</v>
      </c>
    </row>
    <row r="660" spans="1:12" x14ac:dyDescent="0.2">
      <c r="A660" t="s">
        <v>19</v>
      </c>
      <c r="B660" t="s">
        <v>114</v>
      </c>
      <c r="C660" t="s">
        <v>196</v>
      </c>
      <c r="D660">
        <v>349828.35</v>
      </c>
      <c r="E660">
        <v>348289.35</v>
      </c>
      <c r="F660">
        <v>345358.35</v>
      </c>
      <c r="I660">
        <v>93336.92</v>
      </c>
      <c r="J660">
        <v>129720.85</v>
      </c>
      <c r="K660">
        <v>148701.64000000001</v>
      </c>
    </row>
    <row r="661" spans="1:12" x14ac:dyDescent="0.2">
      <c r="A661" t="s">
        <v>19</v>
      </c>
      <c r="B661" t="s">
        <v>114</v>
      </c>
      <c r="C661" t="s">
        <v>197</v>
      </c>
      <c r="D661">
        <v>408171.75</v>
      </c>
      <c r="E661">
        <v>404758.75</v>
      </c>
      <c r="I661">
        <v>83170.080000000002</v>
      </c>
      <c r="J661">
        <v>119168.57</v>
      </c>
    </row>
    <row r="662" spans="1:12" x14ac:dyDescent="0.2">
      <c r="A662" t="s">
        <v>19</v>
      </c>
      <c r="B662" t="s">
        <v>114</v>
      </c>
      <c r="C662" t="s">
        <v>198</v>
      </c>
      <c r="D662">
        <v>377145.2</v>
      </c>
      <c r="I662">
        <v>72818.2</v>
      </c>
    </row>
    <row r="663" spans="1:12" x14ac:dyDescent="0.2">
      <c r="A663" t="s">
        <v>19</v>
      </c>
      <c r="B663" t="s">
        <v>111</v>
      </c>
      <c r="C663" t="s">
        <v>195</v>
      </c>
      <c r="D663">
        <v>366479.96</v>
      </c>
      <c r="E663">
        <v>366029.96</v>
      </c>
      <c r="F663">
        <v>365299.96</v>
      </c>
      <c r="G663">
        <v>363994.96</v>
      </c>
      <c r="I663">
        <v>354912.54</v>
      </c>
      <c r="J663">
        <v>359785.82</v>
      </c>
      <c r="K663">
        <v>359885.82</v>
      </c>
      <c r="L663">
        <v>358580.82</v>
      </c>
    </row>
    <row r="664" spans="1:12" x14ac:dyDescent="0.2">
      <c r="A664" t="s">
        <v>19</v>
      </c>
      <c r="B664" t="s">
        <v>111</v>
      </c>
      <c r="C664" t="s">
        <v>196</v>
      </c>
      <c r="D664">
        <v>431695.03</v>
      </c>
      <c r="E664">
        <v>430036.03</v>
      </c>
      <c r="F664">
        <v>429636.03</v>
      </c>
      <c r="I664">
        <v>412340.55</v>
      </c>
      <c r="J664">
        <v>417779.05</v>
      </c>
      <c r="K664">
        <v>417559.53</v>
      </c>
    </row>
    <row r="665" spans="1:12" x14ac:dyDescent="0.2">
      <c r="A665" t="s">
        <v>19</v>
      </c>
      <c r="B665" t="s">
        <v>111</v>
      </c>
      <c r="C665" t="s">
        <v>197</v>
      </c>
      <c r="D665">
        <v>398363.57</v>
      </c>
      <c r="E665">
        <v>398211.57</v>
      </c>
      <c r="I665">
        <v>389870.3</v>
      </c>
      <c r="J665">
        <v>391241.3</v>
      </c>
    </row>
    <row r="666" spans="1:12" x14ac:dyDescent="0.2">
      <c r="A666" t="s">
        <v>19</v>
      </c>
      <c r="B666" t="s">
        <v>111</v>
      </c>
      <c r="C666" t="s">
        <v>198</v>
      </c>
      <c r="D666">
        <v>372497.41</v>
      </c>
      <c r="I666">
        <v>366722.41</v>
      </c>
    </row>
    <row r="667" spans="1:12" x14ac:dyDescent="0.2">
      <c r="A667" t="s">
        <v>19</v>
      </c>
      <c r="B667" t="s">
        <v>112</v>
      </c>
      <c r="C667" t="s">
        <v>195</v>
      </c>
      <c r="D667">
        <v>247668.08</v>
      </c>
      <c r="E667">
        <v>247583.08</v>
      </c>
      <c r="F667">
        <v>247583.08</v>
      </c>
      <c r="G667">
        <v>247583.08</v>
      </c>
      <c r="I667">
        <v>246900.43</v>
      </c>
      <c r="J667">
        <v>246922.53</v>
      </c>
      <c r="K667">
        <v>246922.53</v>
      </c>
      <c r="L667">
        <v>246922.53</v>
      </c>
    </row>
    <row r="668" spans="1:12" x14ac:dyDescent="0.2">
      <c r="A668" t="s">
        <v>19</v>
      </c>
      <c r="B668" t="s">
        <v>112</v>
      </c>
      <c r="C668" t="s">
        <v>196</v>
      </c>
      <c r="D668">
        <v>259099.61</v>
      </c>
      <c r="E668">
        <v>259099.61</v>
      </c>
      <c r="F668">
        <v>259099.61</v>
      </c>
      <c r="I668">
        <v>257313.11</v>
      </c>
      <c r="J668">
        <v>258309.61</v>
      </c>
      <c r="K668">
        <v>258309.61</v>
      </c>
    </row>
    <row r="669" spans="1:12" x14ac:dyDescent="0.2">
      <c r="A669" t="s">
        <v>19</v>
      </c>
      <c r="B669" t="s">
        <v>112</v>
      </c>
      <c r="C669" t="s">
        <v>197</v>
      </c>
      <c r="D669">
        <v>300931.88</v>
      </c>
      <c r="E669">
        <v>300931.88</v>
      </c>
      <c r="I669">
        <v>299210.88</v>
      </c>
      <c r="J669">
        <v>299855.88</v>
      </c>
    </row>
    <row r="670" spans="1:12" x14ac:dyDescent="0.2">
      <c r="A670" t="s">
        <v>19</v>
      </c>
      <c r="B670" t="s">
        <v>112</v>
      </c>
      <c r="C670" t="s">
        <v>198</v>
      </c>
      <c r="D670">
        <v>289551.46000000002</v>
      </c>
      <c r="I670">
        <v>288103.51</v>
      </c>
    </row>
    <row r="671" spans="1:12" x14ac:dyDescent="0.2">
      <c r="A671" t="s">
        <v>19</v>
      </c>
      <c r="B671" t="s">
        <v>115</v>
      </c>
      <c r="C671" t="s">
        <v>195</v>
      </c>
      <c r="D671">
        <v>1528732.9</v>
      </c>
      <c r="E671">
        <v>1539157.29</v>
      </c>
      <c r="F671">
        <v>1536590.29</v>
      </c>
      <c r="G671">
        <v>1535850.29</v>
      </c>
      <c r="I671">
        <v>707996.83</v>
      </c>
      <c r="J671">
        <v>1206830.58</v>
      </c>
      <c r="K671">
        <v>1262023.3899999999</v>
      </c>
      <c r="L671">
        <v>1286366.55</v>
      </c>
    </row>
    <row r="672" spans="1:12" x14ac:dyDescent="0.2">
      <c r="A672" t="s">
        <v>19</v>
      </c>
      <c r="B672" t="s">
        <v>115</v>
      </c>
      <c r="C672" t="s">
        <v>196</v>
      </c>
      <c r="D672">
        <v>1803800.69</v>
      </c>
      <c r="E672">
        <v>1760354.09</v>
      </c>
      <c r="F672">
        <v>1756784.59</v>
      </c>
      <c r="I672">
        <v>888299.05</v>
      </c>
      <c r="J672">
        <v>1374846.15</v>
      </c>
      <c r="K672">
        <v>1439308.41</v>
      </c>
    </row>
    <row r="673" spans="1:12" x14ac:dyDescent="0.2">
      <c r="A673" t="s">
        <v>19</v>
      </c>
      <c r="B673" t="s">
        <v>115</v>
      </c>
      <c r="C673" t="s">
        <v>197</v>
      </c>
      <c r="D673">
        <v>1734910.61</v>
      </c>
      <c r="E673">
        <v>1703246.89</v>
      </c>
      <c r="I673">
        <v>826157.89</v>
      </c>
      <c r="J673">
        <v>1297094.0900000001</v>
      </c>
    </row>
    <row r="674" spans="1:12" x14ac:dyDescent="0.2">
      <c r="A674" t="s">
        <v>19</v>
      </c>
      <c r="B674" t="s">
        <v>115</v>
      </c>
      <c r="C674" t="s">
        <v>198</v>
      </c>
      <c r="D674">
        <v>1797042.56</v>
      </c>
      <c r="I674">
        <v>840290.23</v>
      </c>
    </row>
    <row r="675" spans="1:12" x14ac:dyDescent="0.2">
      <c r="A675" t="s">
        <v>19</v>
      </c>
      <c r="B675" t="s">
        <v>113</v>
      </c>
      <c r="C675" t="s">
        <v>195</v>
      </c>
      <c r="D675">
        <v>96541.33</v>
      </c>
      <c r="E675">
        <v>94354.33</v>
      </c>
      <c r="F675">
        <v>94348.33</v>
      </c>
      <c r="G675">
        <v>94328.33</v>
      </c>
      <c r="I675">
        <v>93523.33</v>
      </c>
      <c r="J675">
        <v>93879.33</v>
      </c>
      <c r="K675">
        <v>93873.33</v>
      </c>
      <c r="L675">
        <v>93923.33</v>
      </c>
    </row>
    <row r="676" spans="1:12" x14ac:dyDescent="0.2">
      <c r="A676" t="s">
        <v>19</v>
      </c>
      <c r="B676" t="s">
        <v>113</v>
      </c>
      <c r="C676" t="s">
        <v>196</v>
      </c>
      <c r="D676">
        <v>115460.14</v>
      </c>
      <c r="E676">
        <v>115340.14</v>
      </c>
      <c r="F676">
        <v>114925.14</v>
      </c>
      <c r="I676">
        <v>114223.95</v>
      </c>
      <c r="J676">
        <v>114813.95</v>
      </c>
      <c r="K676">
        <v>114674.14</v>
      </c>
    </row>
    <row r="677" spans="1:12" x14ac:dyDescent="0.2">
      <c r="A677" t="s">
        <v>19</v>
      </c>
      <c r="B677" t="s">
        <v>113</v>
      </c>
      <c r="C677" t="s">
        <v>197</v>
      </c>
      <c r="D677">
        <v>109866.66</v>
      </c>
      <c r="E677">
        <v>109758.66</v>
      </c>
      <c r="I677">
        <v>107061.16</v>
      </c>
      <c r="J677">
        <v>108018.66</v>
      </c>
    </row>
    <row r="678" spans="1:12" x14ac:dyDescent="0.2">
      <c r="A678" t="s">
        <v>19</v>
      </c>
      <c r="B678" t="s">
        <v>113</v>
      </c>
      <c r="C678" t="s">
        <v>198</v>
      </c>
      <c r="D678">
        <v>102663.72</v>
      </c>
      <c r="I678">
        <v>101102.33</v>
      </c>
    </row>
    <row r="679" spans="1:12" x14ac:dyDescent="0.2">
      <c r="A679" t="s">
        <v>19</v>
      </c>
      <c r="B679" t="s">
        <v>72</v>
      </c>
      <c r="C679" t="s">
        <v>195</v>
      </c>
      <c r="D679">
        <v>154381.70000000001</v>
      </c>
      <c r="E679">
        <v>152744.70000000001</v>
      </c>
      <c r="F679">
        <v>151951.70000000001</v>
      </c>
      <c r="G679">
        <v>151625.20000000001</v>
      </c>
      <c r="I679">
        <v>141588.85</v>
      </c>
      <c r="J679">
        <v>145028.25</v>
      </c>
      <c r="K679">
        <v>145397.35</v>
      </c>
      <c r="L679">
        <v>145830.29999999999</v>
      </c>
    </row>
    <row r="680" spans="1:12" x14ac:dyDescent="0.2">
      <c r="A680" t="s">
        <v>19</v>
      </c>
      <c r="B680" t="s">
        <v>72</v>
      </c>
      <c r="C680" t="s">
        <v>196</v>
      </c>
      <c r="D680">
        <v>189859.20000000001</v>
      </c>
      <c r="E680">
        <v>187074</v>
      </c>
      <c r="F680">
        <v>185874</v>
      </c>
      <c r="I680">
        <v>175923.75</v>
      </c>
      <c r="J680">
        <v>179031.65</v>
      </c>
      <c r="K680">
        <v>179072.84</v>
      </c>
    </row>
    <row r="681" spans="1:12" x14ac:dyDescent="0.2">
      <c r="A681" t="s">
        <v>19</v>
      </c>
      <c r="B681" t="s">
        <v>72</v>
      </c>
      <c r="C681" t="s">
        <v>197</v>
      </c>
      <c r="D681">
        <v>190441.35</v>
      </c>
      <c r="E681">
        <v>185660.45</v>
      </c>
      <c r="I681">
        <v>174366.9</v>
      </c>
      <c r="J681">
        <v>176709.6</v>
      </c>
    </row>
    <row r="682" spans="1:12" x14ac:dyDescent="0.2">
      <c r="A682" t="s">
        <v>19</v>
      </c>
      <c r="B682" t="s">
        <v>72</v>
      </c>
      <c r="C682" t="s">
        <v>198</v>
      </c>
      <c r="D682">
        <v>176033.39</v>
      </c>
      <c r="I682">
        <v>165842.49</v>
      </c>
    </row>
    <row r="683" spans="1:12" x14ac:dyDescent="0.2">
      <c r="A683" t="s">
        <v>20</v>
      </c>
      <c r="B683" t="s">
        <v>109</v>
      </c>
      <c r="C683" t="s">
        <v>195</v>
      </c>
      <c r="D683">
        <v>328056</v>
      </c>
      <c r="E683">
        <v>326937</v>
      </c>
      <c r="F683">
        <v>326937</v>
      </c>
      <c r="G683">
        <v>326687</v>
      </c>
      <c r="I683">
        <v>2564.69</v>
      </c>
      <c r="J683">
        <v>5177.92</v>
      </c>
      <c r="K683">
        <v>7312.78</v>
      </c>
      <c r="L683">
        <v>8741.25</v>
      </c>
    </row>
    <row r="684" spans="1:12" x14ac:dyDescent="0.2">
      <c r="A684" t="s">
        <v>20</v>
      </c>
      <c r="B684" t="s">
        <v>109</v>
      </c>
      <c r="C684" t="s">
        <v>196</v>
      </c>
      <c r="D684">
        <v>76548</v>
      </c>
      <c r="E684">
        <v>76248</v>
      </c>
      <c r="F684">
        <v>76101.23</v>
      </c>
      <c r="I684">
        <v>1540.41</v>
      </c>
      <c r="J684">
        <v>3256.29</v>
      </c>
      <c r="K684">
        <v>6217.34</v>
      </c>
    </row>
    <row r="685" spans="1:12" x14ac:dyDescent="0.2">
      <c r="A685" t="s">
        <v>20</v>
      </c>
      <c r="B685" t="s">
        <v>109</v>
      </c>
      <c r="C685" t="s">
        <v>197</v>
      </c>
      <c r="D685">
        <v>155285</v>
      </c>
      <c r="E685">
        <v>155285</v>
      </c>
      <c r="I685">
        <v>2898.83</v>
      </c>
      <c r="J685">
        <v>8733.2099999999991</v>
      </c>
    </row>
    <row r="686" spans="1:12" x14ac:dyDescent="0.2">
      <c r="A686" t="s">
        <v>20</v>
      </c>
      <c r="B686" t="s">
        <v>109</v>
      </c>
      <c r="C686" t="s">
        <v>198</v>
      </c>
      <c r="D686">
        <v>112873.3</v>
      </c>
      <c r="I686">
        <v>5295.05</v>
      </c>
    </row>
    <row r="687" spans="1:12" x14ac:dyDescent="0.2">
      <c r="A687" t="s">
        <v>20</v>
      </c>
      <c r="B687" t="s">
        <v>145</v>
      </c>
      <c r="C687" t="s">
        <v>195</v>
      </c>
      <c r="D687">
        <v>210000</v>
      </c>
      <c r="E687">
        <v>210000</v>
      </c>
      <c r="F687">
        <v>210000</v>
      </c>
      <c r="G687">
        <v>210000</v>
      </c>
      <c r="I687">
        <v>67.67</v>
      </c>
      <c r="J687">
        <v>67.67</v>
      </c>
      <c r="K687">
        <v>67.67</v>
      </c>
      <c r="L687">
        <v>67.67</v>
      </c>
    </row>
    <row r="688" spans="1:12" x14ac:dyDescent="0.2">
      <c r="A688" t="s">
        <v>20</v>
      </c>
      <c r="B688" t="s">
        <v>145</v>
      </c>
      <c r="C688" t="s">
        <v>196</v>
      </c>
      <c r="D688">
        <v>0</v>
      </c>
      <c r="E688">
        <v>0</v>
      </c>
      <c r="F688">
        <v>0</v>
      </c>
      <c r="I688">
        <v>0</v>
      </c>
      <c r="J688">
        <v>0</v>
      </c>
      <c r="K688">
        <v>0</v>
      </c>
    </row>
    <row r="689" spans="1:12" x14ac:dyDescent="0.2">
      <c r="A689" t="s">
        <v>20</v>
      </c>
      <c r="B689" t="s">
        <v>145</v>
      </c>
      <c r="C689" t="s">
        <v>197</v>
      </c>
      <c r="D689">
        <v>53168</v>
      </c>
      <c r="E689">
        <v>53168</v>
      </c>
      <c r="I689">
        <v>0</v>
      </c>
      <c r="J689">
        <v>0</v>
      </c>
    </row>
    <row r="690" spans="1:12" x14ac:dyDescent="0.2">
      <c r="A690" t="s">
        <v>20</v>
      </c>
      <c r="B690" t="s">
        <v>145</v>
      </c>
      <c r="C690" t="s">
        <v>198</v>
      </c>
      <c r="D690">
        <v>0</v>
      </c>
      <c r="I690">
        <v>0</v>
      </c>
    </row>
    <row r="691" spans="1:12" x14ac:dyDescent="0.2">
      <c r="A691" t="s">
        <v>20</v>
      </c>
      <c r="B691" t="s">
        <v>110</v>
      </c>
      <c r="C691" t="s">
        <v>195</v>
      </c>
      <c r="D691">
        <v>79240</v>
      </c>
      <c r="E691">
        <v>79348</v>
      </c>
      <c r="F691">
        <v>78848</v>
      </c>
      <c r="G691">
        <v>78848</v>
      </c>
      <c r="I691">
        <v>14191</v>
      </c>
      <c r="J691">
        <v>29243.25</v>
      </c>
      <c r="K691">
        <v>35848.379999999997</v>
      </c>
      <c r="L691">
        <v>38938.910000000003</v>
      </c>
    </row>
    <row r="692" spans="1:12" x14ac:dyDescent="0.2">
      <c r="A692" t="s">
        <v>20</v>
      </c>
      <c r="B692" t="s">
        <v>110</v>
      </c>
      <c r="C692" t="s">
        <v>196</v>
      </c>
      <c r="D692">
        <v>82768.5</v>
      </c>
      <c r="E692">
        <v>82348.5</v>
      </c>
      <c r="F692">
        <v>82098.5</v>
      </c>
      <c r="I692">
        <v>18390.419999999998</v>
      </c>
      <c r="J692">
        <v>31099.95</v>
      </c>
      <c r="K692">
        <v>38115.68</v>
      </c>
    </row>
    <row r="693" spans="1:12" x14ac:dyDescent="0.2">
      <c r="A693" t="s">
        <v>20</v>
      </c>
      <c r="B693" t="s">
        <v>110</v>
      </c>
      <c r="C693" t="s">
        <v>197</v>
      </c>
      <c r="D693">
        <v>71753</v>
      </c>
      <c r="E693">
        <v>70942</v>
      </c>
      <c r="I693">
        <v>10662.96</v>
      </c>
      <c r="J693">
        <v>19566.75</v>
      </c>
    </row>
    <row r="694" spans="1:12" x14ac:dyDescent="0.2">
      <c r="A694" t="s">
        <v>20</v>
      </c>
      <c r="B694" t="s">
        <v>110</v>
      </c>
      <c r="C694" t="s">
        <v>198</v>
      </c>
      <c r="D694">
        <v>75763</v>
      </c>
      <c r="I694">
        <v>10863.79</v>
      </c>
    </row>
    <row r="695" spans="1:12" x14ac:dyDescent="0.2">
      <c r="A695" t="s">
        <v>20</v>
      </c>
      <c r="B695" t="s">
        <v>116</v>
      </c>
      <c r="C695" t="s">
        <v>195</v>
      </c>
      <c r="D695">
        <v>2024</v>
      </c>
      <c r="E695">
        <v>2024</v>
      </c>
      <c r="F695">
        <v>2024</v>
      </c>
      <c r="G695">
        <v>2024</v>
      </c>
      <c r="I695">
        <v>100</v>
      </c>
      <c r="J695">
        <v>350</v>
      </c>
      <c r="K695">
        <v>456</v>
      </c>
      <c r="L695">
        <v>644</v>
      </c>
    </row>
    <row r="696" spans="1:12" x14ac:dyDescent="0.2">
      <c r="A696" t="s">
        <v>20</v>
      </c>
      <c r="B696" t="s">
        <v>116</v>
      </c>
      <c r="C696" t="s">
        <v>196</v>
      </c>
      <c r="D696">
        <v>5847</v>
      </c>
      <c r="E696">
        <v>5747</v>
      </c>
      <c r="F696">
        <v>5747</v>
      </c>
      <c r="I696">
        <v>359</v>
      </c>
      <c r="J696">
        <v>883</v>
      </c>
      <c r="K696">
        <v>1555</v>
      </c>
    </row>
    <row r="697" spans="1:12" x14ac:dyDescent="0.2">
      <c r="A697" t="s">
        <v>20</v>
      </c>
      <c r="B697" t="s">
        <v>116</v>
      </c>
      <c r="C697" t="s">
        <v>197</v>
      </c>
      <c r="D697">
        <v>3743</v>
      </c>
      <c r="E697">
        <v>3743</v>
      </c>
      <c r="I697">
        <v>224</v>
      </c>
      <c r="J697">
        <v>299</v>
      </c>
    </row>
    <row r="698" spans="1:12" x14ac:dyDescent="0.2">
      <c r="A698" t="s">
        <v>20</v>
      </c>
      <c r="B698" t="s">
        <v>116</v>
      </c>
      <c r="C698" t="s">
        <v>198</v>
      </c>
      <c r="D698">
        <v>3332</v>
      </c>
      <c r="I698">
        <v>426</v>
      </c>
    </row>
    <row r="699" spans="1:12" x14ac:dyDescent="0.2">
      <c r="A699" t="s">
        <v>20</v>
      </c>
      <c r="B699" t="s">
        <v>114</v>
      </c>
      <c r="C699" t="s">
        <v>195</v>
      </c>
      <c r="D699">
        <v>75369</v>
      </c>
      <c r="E699">
        <v>74506</v>
      </c>
      <c r="F699">
        <v>74306</v>
      </c>
      <c r="G699">
        <v>74306</v>
      </c>
      <c r="I699">
        <v>19359</v>
      </c>
      <c r="J699">
        <v>34475.480000000003</v>
      </c>
      <c r="K699">
        <v>43963.56</v>
      </c>
      <c r="L699">
        <v>46903.7</v>
      </c>
    </row>
    <row r="700" spans="1:12" x14ac:dyDescent="0.2">
      <c r="A700" t="s">
        <v>20</v>
      </c>
      <c r="B700" t="s">
        <v>114</v>
      </c>
      <c r="C700" t="s">
        <v>196</v>
      </c>
      <c r="D700">
        <v>120018</v>
      </c>
      <c r="E700">
        <v>119370</v>
      </c>
      <c r="F700">
        <v>119395</v>
      </c>
      <c r="I700">
        <v>29938.25</v>
      </c>
      <c r="J700">
        <v>54746.879999999997</v>
      </c>
      <c r="K700">
        <v>66303.42</v>
      </c>
    </row>
    <row r="701" spans="1:12" x14ac:dyDescent="0.2">
      <c r="A701" t="s">
        <v>20</v>
      </c>
      <c r="B701" t="s">
        <v>114</v>
      </c>
      <c r="C701" t="s">
        <v>197</v>
      </c>
      <c r="D701">
        <v>115803.5</v>
      </c>
      <c r="E701">
        <v>116523.5</v>
      </c>
      <c r="I701">
        <v>28830.39</v>
      </c>
      <c r="J701">
        <v>52493.16</v>
      </c>
    </row>
    <row r="702" spans="1:12" x14ac:dyDescent="0.2">
      <c r="A702" t="s">
        <v>20</v>
      </c>
      <c r="B702" t="s">
        <v>114</v>
      </c>
      <c r="C702" t="s">
        <v>198</v>
      </c>
      <c r="D702">
        <v>88032</v>
      </c>
      <c r="I702">
        <v>29700.15</v>
      </c>
    </row>
    <row r="703" spans="1:12" x14ac:dyDescent="0.2">
      <c r="A703" t="s">
        <v>20</v>
      </c>
      <c r="B703" t="s">
        <v>111</v>
      </c>
      <c r="C703" t="s">
        <v>195</v>
      </c>
      <c r="D703">
        <v>172354.9</v>
      </c>
      <c r="E703">
        <v>172354.9</v>
      </c>
      <c r="F703">
        <v>172354.9</v>
      </c>
      <c r="G703">
        <v>172354.9</v>
      </c>
      <c r="I703">
        <v>168864.34</v>
      </c>
      <c r="J703">
        <v>170154.34</v>
      </c>
      <c r="K703">
        <v>170154.34</v>
      </c>
      <c r="L703">
        <v>170154.34</v>
      </c>
    </row>
    <row r="704" spans="1:12" x14ac:dyDescent="0.2">
      <c r="A704" t="s">
        <v>20</v>
      </c>
      <c r="B704" t="s">
        <v>111</v>
      </c>
      <c r="C704" t="s">
        <v>196</v>
      </c>
      <c r="D704">
        <v>187753</v>
      </c>
      <c r="E704">
        <v>180988</v>
      </c>
      <c r="F704">
        <v>180988</v>
      </c>
      <c r="I704">
        <v>181493</v>
      </c>
      <c r="J704">
        <v>180588</v>
      </c>
      <c r="K704">
        <v>180588</v>
      </c>
    </row>
    <row r="705" spans="1:12" x14ac:dyDescent="0.2">
      <c r="A705" t="s">
        <v>20</v>
      </c>
      <c r="B705" t="s">
        <v>111</v>
      </c>
      <c r="C705" t="s">
        <v>197</v>
      </c>
      <c r="D705">
        <v>184489.96</v>
      </c>
      <c r="E705">
        <v>184489.96</v>
      </c>
      <c r="I705">
        <v>183249.96</v>
      </c>
      <c r="J705">
        <v>184489.96</v>
      </c>
    </row>
    <row r="706" spans="1:12" x14ac:dyDescent="0.2">
      <c r="A706" t="s">
        <v>20</v>
      </c>
      <c r="B706" t="s">
        <v>111</v>
      </c>
      <c r="C706" t="s">
        <v>198</v>
      </c>
      <c r="D706">
        <v>166391.01999999999</v>
      </c>
      <c r="I706">
        <v>166391.01999999999</v>
      </c>
    </row>
    <row r="707" spans="1:12" x14ac:dyDescent="0.2">
      <c r="A707" t="s">
        <v>20</v>
      </c>
      <c r="B707" t="s">
        <v>112</v>
      </c>
      <c r="C707" t="s">
        <v>195</v>
      </c>
      <c r="D707">
        <v>79267.75</v>
      </c>
      <c r="E707">
        <v>79267.75</v>
      </c>
      <c r="F707">
        <v>79267.75</v>
      </c>
      <c r="G707">
        <v>79267.75</v>
      </c>
      <c r="I707">
        <v>79267.75</v>
      </c>
      <c r="J707">
        <v>79267.75</v>
      </c>
      <c r="K707">
        <v>79267.75</v>
      </c>
      <c r="L707">
        <v>79267.75</v>
      </c>
    </row>
    <row r="708" spans="1:12" x14ac:dyDescent="0.2">
      <c r="A708" t="s">
        <v>20</v>
      </c>
      <c r="B708" t="s">
        <v>112</v>
      </c>
      <c r="C708" t="s">
        <v>196</v>
      </c>
      <c r="D708">
        <v>83939.44</v>
      </c>
      <c r="E708">
        <v>83939.44</v>
      </c>
      <c r="F708">
        <v>83939.44</v>
      </c>
      <c r="I708">
        <v>83451.94</v>
      </c>
      <c r="J708">
        <v>83636.94</v>
      </c>
      <c r="K708">
        <v>83636.94</v>
      </c>
    </row>
    <row r="709" spans="1:12" x14ac:dyDescent="0.2">
      <c r="A709" t="s">
        <v>20</v>
      </c>
      <c r="B709" t="s">
        <v>112</v>
      </c>
      <c r="C709" t="s">
        <v>197</v>
      </c>
      <c r="D709">
        <v>86876.25</v>
      </c>
      <c r="E709">
        <v>86876.25</v>
      </c>
      <c r="I709">
        <v>86876.25</v>
      </c>
      <c r="J709">
        <v>86876.25</v>
      </c>
    </row>
    <row r="710" spans="1:12" x14ac:dyDescent="0.2">
      <c r="A710" t="s">
        <v>20</v>
      </c>
      <c r="B710" t="s">
        <v>112</v>
      </c>
      <c r="C710" t="s">
        <v>198</v>
      </c>
      <c r="D710">
        <v>81488.899999999994</v>
      </c>
      <c r="I710">
        <v>81478.899999999994</v>
      </c>
    </row>
    <row r="711" spans="1:12" x14ac:dyDescent="0.2">
      <c r="A711" t="s">
        <v>20</v>
      </c>
      <c r="B711" t="s">
        <v>115</v>
      </c>
      <c r="C711" t="s">
        <v>195</v>
      </c>
      <c r="D711">
        <v>261323.45</v>
      </c>
      <c r="E711">
        <v>246167.75</v>
      </c>
      <c r="F711">
        <v>232227.75</v>
      </c>
      <c r="G711">
        <v>231028.75</v>
      </c>
      <c r="I711">
        <v>106585.1</v>
      </c>
      <c r="J711">
        <v>203643.32</v>
      </c>
      <c r="K711">
        <v>212413.5</v>
      </c>
      <c r="L711">
        <v>216247.75</v>
      </c>
    </row>
    <row r="712" spans="1:12" x14ac:dyDescent="0.2">
      <c r="A712" t="s">
        <v>20</v>
      </c>
      <c r="B712" t="s">
        <v>115</v>
      </c>
      <c r="C712" t="s">
        <v>196</v>
      </c>
      <c r="D712">
        <v>336103.75</v>
      </c>
      <c r="E712">
        <v>303315.8</v>
      </c>
      <c r="F712">
        <v>301794.8</v>
      </c>
      <c r="I712">
        <v>153261.20000000001</v>
      </c>
      <c r="J712">
        <v>259093.05</v>
      </c>
      <c r="K712">
        <v>271385.27</v>
      </c>
    </row>
    <row r="713" spans="1:12" x14ac:dyDescent="0.2">
      <c r="A713" t="s">
        <v>20</v>
      </c>
      <c r="B713" t="s">
        <v>115</v>
      </c>
      <c r="C713" t="s">
        <v>197</v>
      </c>
      <c r="D713">
        <v>253214.2</v>
      </c>
      <c r="E713">
        <v>243531.1</v>
      </c>
      <c r="I713">
        <v>130274.6</v>
      </c>
      <c r="J713">
        <v>205602.5</v>
      </c>
    </row>
    <row r="714" spans="1:12" x14ac:dyDescent="0.2">
      <c r="A714" t="s">
        <v>20</v>
      </c>
      <c r="B714" t="s">
        <v>115</v>
      </c>
      <c r="C714" t="s">
        <v>198</v>
      </c>
      <c r="D714">
        <v>247343.8</v>
      </c>
      <c r="I714">
        <v>127642.85</v>
      </c>
    </row>
    <row r="715" spans="1:12" x14ac:dyDescent="0.2">
      <c r="A715" t="s">
        <v>20</v>
      </c>
      <c r="B715" t="s">
        <v>113</v>
      </c>
      <c r="C715" t="s">
        <v>195</v>
      </c>
      <c r="D715">
        <v>40352.5</v>
      </c>
      <c r="E715">
        <v>40352.5</v>
      </c>
      <c r="F715">
        <v>40352.5</v>
      </c>
      <c r="G715">
        <v>40352.5</v>
      </c>
      <c r="I715">
        <v>40352.5</v>
      </c>
      <c r="J715">
        <v>40352.5</v>
      </c>
      <c r="K715">
        <v>40352.5</v>
      </c>
      <c r="L715">
        <v>40352.5</v>
      </c>
    </row>
    <row r="716" spans="1:12" x14ac:dyDescent="0.2">
      <c r="A716" t="s">
        <v>20</v>
      </c>
      <c r="B716" t="s">
        <v>113</v>
      </c>
      <c r="C716" t="s">
        <v>196</v>
      </c>
      <c r="D716">
        <v>47962</v>
      </c>
      <c r="E716">
        <v>47962</v>
      </c>
      <c r="F716">
        <v>47617</v>
      </c>
      <c r="I716">
        <v>47272</v>
      </c>
      <c r="J716">
        <v>47962</v>
      </c>
      <c r="K716">
        <v>47617</v>
      </c>
    </row>
    <row r="717" spans="1:12" x14ac:dyDescent="0.2">
      <c r="A717" t="s">
        <v>20</v>
      </c>
      <c r="B717" t="s">
        <v>113</v>
      </c>
      <c r="C717" t="s">
        <v>197</v>
      </c>
      <c r="D717">
        <v>47359.5</v>
      </c>
      <c r="E717">
        <v>47309.5</v>
      </c>
      <c r="I717">
        <v>46474.5</v>
      </c>
      <c r="J717">
        <v>46909.5</v>
      </c>
    </row>
    <row r="718" spans="1:12" x14ac:dyDescent="0.2">
      <c r="A718" t="s">
        <v>20</v>
      </c>
      <c r="B718" t="s">
        <v>113</v>
      </c>
      <c r="C718" t="s">
        <v>198</v>
      </c>
      <c r="D718">
        <v>41768.5</v>
      </c>
      <c r="I718">
        <v>41768.5</v>
      </c>
    </row>
    <row r="719" spans="1:12" x14ac:dyDescent="0.2">
      <c r="A719" t="s">
        <v>20</v>
      </c>
      <c r="B719" t="s">
        <v>72</v>
      </c>
      <c r="C719" t="s">
        <v>195</v>
      </c>
      <c r="D719">
        <v>52748.5</v>
      </c>
      <c r="E719">
        <v>52323.5</v>
      </c>
      <c r="F719">
        <v>52323.5</v>
      </c>
      <c r="G719">
        <v>52323.5</v>
      </c>
      <c r="I719">
        <v>50665.25</v>
      </c>
      <c r="J719">
        <v>51701</v>
      </c>
      <c r="K719">
        <v>51701</v>
      </c>
      <c r="L719">
        <v>51701</v>
      </c>
    </row>
    <row r="720" spans="1:12" x14ac:dyDescent="0.2">
      <c r="A720" t="s">
        <v>20</v>
      </c>
      <c r="B720" t="s">
        <v>72</v>
      </c>
      <c r="C720" t="s">
        <v>196</v>
      </c>
      <c r="D720">
        <v>51443.5</v>
      </c>
      <c r="E720">
        <v>51035.5</v>
      </c>
      <c r="F720">
        <v>51035.5</v>
      </c>
      <c r="I720">
        <v>49913</v>
      </c>
      <c r="J720">
        <v>49913</v>
      </c>
      <c r="K720">
        <v>49913</v>
      </c>
    </row>
    <row r="721" spans="1:12" x14ac:dyDescent="0.2">
      <c r="A721" t="s">
        <v>20</v>
      </c>
      <c r="B721" t="s">
        <v>72</v>
      </c>
      <c r="C721" t="s">
        <v>197</v>
      </c>
      <c r="D721">
        <v>62796</v>
      </c>
      <c r="E721">
        <v>62796</v>
      </c>
      <c r="I721">
        <v>61575</v>
      </c>
      <c r="J721">
        <v>62121.51</v>
      </c>
    </row>
    <row r="722" spans="1:12" x14ac:dyDescent="0.2">
      <c r="A722" t="s">
        <v>20</v>
      </c>
      <c r="B722" t="s">
        <v>72</v>
      </c>
      <c r="C722" t="s">
        <v>198</v>
      </c>
      <c r="D722">
        <v>52130.5</v>
      </c>
      <c r="I722">
        <v>50159.38</v>
      </c>
    </row>
    <row r="723" spans="1:12" x14ac:dyDescent="0.2">
      <c r="A723" t="s">
        <v>21</v>
      </c>
      <c r="B723" t="s">
        <v>109</v>
      </c>
      <c r="C723" t="s">
        <v>195</v>
      </c>
      <c r="D723">
        <v>31503</v>
      </c>
      <c r="E723">
        <v>31855</v>
      </c>
      <c r="F723">
        <v>31855</v>
      </c>
      <c r="G723">
        <v>31855</v>
      </c>
      <c r="I723">
        <v>695</v>
      </c>
      <c r="J723">
        <v>3210</v>
      </c>
      <c r="K723">
        <v>4449.4399999999996</v>
      </c>
      <c r="L723">
        <v>4832.21</v>
      </c>
    </row>
    <row r="724" spans="1:12" x14ac:dyDescent="0.2">
      <c r="A724" t="s">
        <v>21</v>
      </c>
      <c r="B724" t="s">
        <v>109</v>
      </c>
      <c r="C724" t="s">
        <v>196</v>
      </c>
      <c r="D724">
        <v>75208</v>
      </c>
      <c r="E724">
        <v>75208</v>
      </c>
      <c r="F724">
        <v>75208</v>
      </c>
      <c r="I724">
        <v>1261</v>
      </c>
      <c r="J724">
        <v>1509.27</v>
      </c>
      <c r="K724">
        <v>2587.66</v>
      </c>
    </row>
    <row r="725" spans="1:12" x14ac:dyDescent="0.2">
      <c r="A725" t="s">
        <v>21</v>
      </c>
      <c r="B725" t="s">
        <v>109</v>
      </c>
      <c r="C725" t="s">
        <v>197</v>
      </c>
      <c r="D725">
        <v>94884.08</v>
      </c>
      <c r="E725">
        <v>94884.08</v>
      </c>
      <c r="I725">
        <v>834.85</v>
      </c>
      <c r="J725">
        <v>934.85</v>
      </c>
    </row>
    <row r="726" spans="1:12" x14ac:dyDescent="0.2">
      <c r="A726" t="s">
        <v>21</v>
      </c>
      <c r="B726" t="s">
        <v>109</v>
      </c>
      <c r="C726" t="s">
        <v>198</v>
      </c>
      <c r="D726">
        <v>57725</v>
      </c>
      <c r="I726">
        <v>621.88</v>
      </c>
    </row>
    <row r="727" spans="1:12" x14ac:dyDescent="0.2">
      <c r="A727" t="s">
        <v>21</v>
      </c>
      <c r="B727" t="s">
        <v>145</v>
      </c>
      <c r="C727" t="s">
        <v>195</v>
      </c>
      <c r="D727">
        <v>0</v>
      </c>
      <c r="E727">
        <v>0</v>
      </c>
      <c r="F727">
        <v>0</v>
      </c>
      <c r="G727">
        <v>0</v>
      </c>
      <c r="I727">
        <v>0</v>
      </c>
      <c r="J727">
        <v>0</v>
      </c>
      <c r="K727">
        <v>0</v>
      </c>
      <c r="L727">
        <v>0</v>
      </c>
    </row>
    <row r="728" spans="1:12" x14ac:dyDescent="0.2">
      <c r="A728" t="s">
        <v>21</v>
      </c>
      <c r="B728" t="s">
        <v>145</v>
      </c>
      <c r="C728" t="s">
        <v>196</v>
      </c>
      <c r="D728">
        <v>0</v>
      </c>
      <c r="E728">
        <v>0</v>
      </c>
      <c r="F728">
        <v>0</v>
      </c>
      <c r="I728">
        <v>0</v>
      </c>
      <c r="J728">
        <v>0</v>
      </c>
      <c r="K728">
        <v>0</v>
      </c>
    </row>
    <row r="729" spans="1:12" x14ac:dyDescent="0.2">
      <c r="A729" t="s">
        <v>21</v>
      </c>
      <c r="B729" t="s">
        <v>145</v>
      </c>
      <c r="C729" t="s">
        <v>197</v>
      </c>
      <c r="D729">
        <v>50000</v>
      </c>
      <c r="E729">
        <v>50000</v>
      </c>
      <c r="I729">
        <v>0</v>
      </c>
      <c r="J729">
        <v>0</v>
      </c>
    </row>
    <row r="730" spans="1:12" x14ac:dyDescent="0.2">
      <c r="A730" t="s">
        <v>21</v>
      </c>
      <c r="B730" t="s">
        <v>145</v>
      </c>
      <c r="C730" t="s">
        <v>198</v>
      </c>
      <c r="D730">
        <v>0</v>
      </c>
      <c r="I730">
        <v>0</v>
      </c>
    </row>
    <row r="731" spans="1:12" x14ac:dyDescent="0.2">
      <c r="A731" t="s">
        <v>21</v>
      </c>
      <c r="B731" t="s">
        <v>110</v>
      </c>
      <c r="C731" t="s">
        <v>195</v>
      </c>
      <c r="D731">
        <v>24178</v>
      </c>
      <c r="E731">
        <v>24155</v>
      </c>
      <c r="F731">
        <v>24155</v>
      </c>
      <c r="G731">
        <v>24155</v>
      </c>
      <c r="I731">
        <v>10674</v>
      </c>
      <c r="J731">
        <v>12576</v>
      </c>
      <c r="K731">
        <v>14864</v>
      </c>
      <c r="L731">
        <v>15949</v>
      </c>
    </row>
    <row r="732" spans="1:12" x14ac:dyDescent="0.2">
      <c r="A732" t="s">
        <v>21</v>
      </c>
      <c r="B732" t="s">
        <v>110</v>
      </c>
      <c r="C732" t="s">
        <v>196</v>
      </c>
      <c r="D732">
        <v>37472</v>
      </c>
      <c r="E732">
        <v>37432</v>
      </c>
      <c r="F732">
        <v>37432</v>
      </c>
      <c r="I732">
        <v>6433</v>
      </c>
      <c r="J732">
        <v>10452</v>
      </c>
      <c r="K732">
        <v>11775</v>
      </c>
    </row>
    <row r="733" spans="1:12" x14ac:dyDescent="0.2">
      <c r="A733" t="s">
        <v>21</v>
      </c>
      <c r="B733" t="s">
        <v>110</v>
      </c>
      <c r="C733" t="s">
        <v>197</v>
      </c>
      <c r="D733">
        <v>54398</v>
      </c>
      <c r="E733">
        <v>54398</v>
      </c>
      <c r="I733">
        <v>17110.599999999999</v>
      </c>
      <c r="J733">
        <v>20830.599999999999</v>
      </c>
    </row>
    <row r="734" spans="1:12" x14ac:dyDescent="0.2">
      <c r="A734" t="s">
        <v>21</v>
      </c>
      <c r="B734" t="s">
        <v>110</v>
      </c>
      <c r="C734" t="s">
        <v>198</v>
      </c>
      <c r="D734">
        <v>49677</v>
      </c>
      <c r="I734">
        <v>13235</v>
      </c>
    </row>
    <row r="735" spans="1:12" x14ac:dyDescent="0.2">
      <c r="A735" t="s">
        <v>21</v>
      </c>
      <c r="B735" t="s">
        <v>116</v>
      </c>
      <c r="C735" t="s">
        <v>195</v>
      </c>
      <c r="D735">
        <v>7</v>
      </c>
      <c r="E735">
        <v>0</v>
      </c>
      <c r="F735">
        <v>0</v>
      </c>
      <c r="G735">
        <v>0</v>
      </c>
      <c r="I735">
        <v>0</v>
      </c>
      <c r="J735">
        <v>0</v>
      </c>
      <c r="K735">
        <v>0</v>
      </c>
      <c r="L735">
        <v>0</v>
      </c>
    </row>
    <row r="736" spans="1:12" x14ac:dyDescent="0.2">
      <c r="A736" t="s">
        <v>21</v>
      </c>
      <c r="B736" t="s">
        <v>116</v>
      </c>
      <c r="C736" t="s">
        <v>196</v>
      </c>
      <c r="D736">
        <v>382</v>
      </c>
      <c r="E736">
        <v>382</v>
      </c>
      <c r="F736">
        <v>382</v>
      </c>
      <c r="I736">
        <v>32</v>
      </c>
      <c r="J736">
        <v>57</v>
      </c>
      <c r="K736">
        <v>57</v>
      </c>
    </row>
    <row r="737" spans="1:12" x14ac:dyDescent="0.2">
      <c r="A737" t="s">
        <v>21</v>
      </c>
      <c r="B737" t="s">
        <v>116</v>
      </c>
      <c r="C737" t="s">
        <v>197</v>
      </c>
      <c r="D737">
        <v>210.5</v>
      </c>
      <c r="E737">
        <v>210.5</v>
      </c>
      <c r="I737">
        <v>210.5</v>
      </c>
      <c r="J737">
        <v>210.5</v>
      </c>
    </row>
    <row r="738" spans="1:12" x14ac:dyDescent="0.2">
      <c r="A738" t="s">
        <v>21</v>
      </c>
      <c r="B738" t="s">
        <v>116</v>
      </c>
      <c r="C738" t="s">
        <v>198</v>
      </c>
      <c r="D738">
        <v>469.5</v>
      </c>
      <c r="I738">
        <v>244.5</v>
      </c>
    </row>
    <row r="739" spans="1:12" x14ac:dyDescent="0.2">
      <c r="A739" t="s">
        <v>21</v>
      </c>
      <c r="B739" t="s">
        <v>114</v>
      </c>
      <c r="C739" t="s">
        <v>195</v>
      </c>
      <c r="D739">
        <v>16894</v>
      </c>
      <c r="E739">
        <v>16894</v>
      </c>
      <c r="F739">
        <v>16894</v>
      </c>
      <c r="G739">
        <v>16894</v>
      </c>
      <c r="I739">
        <v>8104</v>
      </c>
      <c r="J739">
        <v>10896</v>
      </c>
      <c r="K739">
        <v>11756</v>
      </c>
      <c r="L739">
        <v>12311</v>
      </c>
    </row>
    <row r="740" spans="1:12" x14ac:dyDescent="0.2">
      <c r="A740" t="s">
        <v>21</v>
      </c>
      <c r="B740" t="s">
        <v>114</v>
      </c>
      <c r="C740" t="s">
        <v>196</v>
      </c>
      <c r="D740">
        <v>21282</v>
      </c>
      <c r="E740">
        <v>21282</v>
      </c>
      <c r="F740">
        <v>21332</v>
      </c>
      <c r="I740">
        <v>5068</v>
      </c>
      <c r="J740">
        <v>8923</v>
      </c>
      <c r="K740">
        <v>10216</v>
      </c>
    </row>
    <row r="741" spans="1:12" x14ac:dyDescent="0.2">
      <c r="A741" t="s">
        <v>21</v>
      </c>
      <c r="B741" t="s">
        <v>114</v>
      </c>
      <c r="C741" t="s">
        <v>197</v>
      </c>
      <c r="D741">
        <v>23184</v>
      </c>
      <c r="E741">
        <v>23416</v>
      </c>
      <c r="I741">
        <v>6751</v>
      </c>
      <c r="J741">
        <v>7882</v>
      </c>
    </row>
    <row r="742" spans="1:12" x14ac:dyDescent="0.2">
      <c r="A742" t="s">
        <v>21</v>
      </c>
      <c r="B742" t="s">
        <v>114</v>
      </c>
      <c r="C742" t="s">
        <v>198</v>
      </c>
      <c r="D742">
        <v>30349.25</v>
      </c>
      <c r="I742">
        <v>5452.25</v>
      </c>
    </row>
    <row r="743" spans="1:12" x14ac:dyDescent="0.2">
      <c r="A743" t="s">
        <v>21</v>
      </c>
      <c r="B743" t="s">
        <v>111</v>
      </c>
      <c r="C743" t="s">
        <v>195</v>
      </c>
      <c r="D743">
        <v>12785</v>
      </c>
      <c r="E743">
        <v>12785</v>
      </c>
      <c r="F743">
        <v>12785</v>
      </c>
      <c r="G743">
        <v>12785</v>
      </c>
      <c r="I743">
        <v>12785</v>
      </c>
      <c r="J743">
        <v>12785</v>
      </c>
      <c r="K743">
        <v>12785</v>
      </c>
      <c r="L743">
        <v>12785</v>
      </c>
    </row>
    <row r="744" spans="1:12" x14ac:dyDescent="0.2">
      <c r="A744" t="s">
        <v>21</v>
      </c>
      <c r="B744" t="s">
        <v>111</v>
      </c>
      <c r="C744" t="s">
        <v>196</v>
      </c>
      <c r="D744">
        <v>22275</v>
      </c>
      <c r="E744">
        <v>22275</v>
      </c>
      <c r="F744">
        <v>22275</v>
      </c>
      <c r="I744">
        <v>22275</v>
      </c>
      <c r="J744">
        <v>22275</v>
      </c>
      <c r="K744">
        <v>22275</v>
      </c>
    </row>
    <row r="745" spans="1:12" x14ac:dyDescent="0.2">
      <c r="A745" t="s">
        <v>21</v>
      </c>
      <c r="B745" t="s">
        <v>111</v>
      </c>
      <c r="C745" t="s">
        <v>197</v>
      </c>
      <c r="D745">
        <v>23833.5</v>
      </c>
      <c r="E745">
        <v>23833.5</v>
      </c>
      <c r="I745">
        <v>23833.5</v>
      </c>
      <c r="J745">
        <v>23833.5</v>
      </c>
    </row>
    <row r="746" spans="1:12" x14ac:dyDescent="0.2">
      <c r="A746" t="s">
        <v>21</v>
      </c>
      <c r="B746" t="s">
        <v>111</v>
      </c>
      <c r="C746" t="s">
        <v>198</v>
      </c>
      <c r="D746">
        <v>17954.5</v>
      </c>
      <c r="I746">
        <v>16984.5</v>
      </c>
    </row>
    <row r="747" spans="1:12" x14ac:dyDescent="0.2">
      <c r="A747" t="s">
        <v>21</v>
      </c>
      <c r="B747" t="s">
        <v>112</v>
      </c>
      <c r="C747" t="s">
        <v>195</v>
      </c>
      <c r="D747">
        <v>4535</v>
      </c>
      <c r="E747">
        <v>4535</v>
      </c>
      <c r="F747">
        <v>4535</v>
      </c>
      <c r="G747">
        <v>4535</v>
      </c>
      <c r="I747">
        <v>4535</v>
      </c>
      <c r="J747">
        <v>4535</v>
      </c>
      <c r="K747">
        <v>4535</v>
      </c>
      <c r="L747">
        <v>4535</v>
      </c>
    </row>
    <row r="748" spans="1:12" x14ac:dyDescent="0.2">
      <c r="A748" t="s">
        <v>21</v>
      </c>
      <c r="B748" t="s">
        <v>112</v>
      </c>
      <c r="C748" t="s">
        <v>196</v>
      </c>
      <c r="D748">
        <v>5135</v>
      </c>
      <c r="E748">
        <v>5135</v>
      </c>
      <c r="F748">
        <v>5135</v>
      </c>
      <c r="I748">
        <v>5135</v>
      </c>
      <c r="J748">
        <v>5135</v>
      </c>
      <c r="K748">
        <v>5135</v>
      </c>
    </row>
    <row r="749" spans="1:12" x14ac:dyDescent="0.2">
      <c r="A749" t="s">
        <v>21</v>
      </c>
      <c r="B749" t="s">
        <v>112</v>
      </c>
      <c r="C749" t="s">
        <v>197</v>
      </c>
      <c r="D749">
        <v>6220</v>
      </c>
      <c r="E749">
        <v>6220</v>
      </c>
      <c r="I749">
        <v>6220</v>
      </c>
      <c r="J749">
        <v>6220</v>
      </c>
    </row>
    <row r="750" spans="1:12" x14ac:dyDescent="0.2">
      <c r="A750" t="s">
        <v>21</v>
      </c>
      <c r="B750" t="s">
        <v>112</v>
      </c>
      <c r="C750" t="s">
        <v>198</v>
      </c>
      <c r="D750">
        <v>4900</v>
      </c>
      <c r="I750">
        <v>4900</v>
      </c>
    </row>
    <row r="751" spans="1:12" x14ac:dyDescent="0.2">
      <c r="A751" t="s">
        <v>21</v>
      </c>
      <c r="B751" t="s">
        <v>115</v>
      </c>
      <c r="C751" t="s">
        <v>195</v>
      </c>
      <c r="D751">
        <v>24097.75</v>
      </c>
      <c r="E751">
        <v>23827.75</v>
      </c>
      <c r="F751">
        <v>23669.75</v>
      </c>
      <c r="G751">
        <v>23669.75</v>
      </c>
      <c r="I751">
        <v>15443.25</v>
      </c>
      <c r="J751">
        <v>20296.25</v>
      </c>
      <c r="K751">
        <v>20527.25</v>
      </c>
      <c r="L751">
        <v>20545.25</v>
      </c>
    </row>
    <row r="752" spans="1:12" x14ac:dyDescent="0.2">
      <c r="A752" t="s">
        <v>21</v>
      </c>
      <c r="B752" t="s">
        <v>115</v>
      </c>
      <c r="C752" t="s">
        <v>196</v>
      </c>
      <c r="D752">
        <v>32789.5</v>
      </c>
      <c r="E752">
        <v>30649</v>
      </c>
      <c r="F752">
        <v>30631</v>
      </c>
      <c r="I752">
        <v>14523.5</v>
      </c>
      <c r="J752">
        <v>25969</v>
      </c>
      <c r="K752">
        <v>26728</v>
      </c>
    </row>
    <row r="753" spans="1:12" x14ac:dyDescent="0.2">
      <c r="A753" t="s">
        <v>21</v>
      </c>
      <c r="B753" t="s">
        <v>115</v>
      </c>
      <c r="C753" t="s">
        <v>197</v>
      </c>
      <c r="D753">
        <v>48696</v>
      </c>
      <c r="E753">
        <v>46718.25</v>
      </c>
      <c r="I753">
        <v>29560</v>
      </c>
      <c r="J753">
        <v>39941.25</v>
      </c>
    </row>
    <row r="754" spans="1:12" x14ac:dyDescent="0.2">
      <c r="A754" t="s">
        <v>21</v>
      </c>
      <c r="B754" t="s">
        <v>115</v>
      </c>
      <c r="C754" t="s">
        <v>198</v>
      </c>
      <c r="D754">
        <v>50571.25</v>
      </c>
      <c r="I754">
        <v>26959.75</v>
      </c>
    </row>
    <row r="755" spans="1:12" x14ac:dyDescent="0.2">
      <c r="A755" t="s">
        <v>21</v>
      </c>
      <c r="B755" t="s">
        <v>113</v>
      </c>
      <c r="C755" t="s">
        <v>195</v>
      </c>
      <c r="D755">
        <v>6687</v>
      </c>
      <c r="E755">
        <v>6456</v>
      </c>
      <c r="F755">
        <v>6456</v>
      </c>
      <c r="G755">
        <v>6456</v>
      </c>
      <c r="I755">
        <v>6456</v>
      </c>
      <c r="J755">
        <v>6456</v>
      </c>
      <c r="K755">
        <v>6456</v>
      </c>
      <c r="L755">
        <v>6456</v>
      </c>
    </row>
    <row r="756" spans="1:12" x14ac:dyDescent="0.2">
      <c r="A756" t="s">
        <v>21</v>
      </c>
      <c r="B756" t="s">
        <v>113</v>
      </c>
      <c r="C756" t="s">
        <v>196</v>
      </c>
      <c r="D756">
        <v>8922</v>
      </c>
      <c r="E756">
        <v>8922</v>
      </c>
      <c r="F756">
        <v>8922</v>
      </c>
      <c r="I756">
        <v>8922</v>
      </c>
      <c r="J756">
        <v>8922</v>
      </c>
      <c r="K756">
        <v>8922</v>
      </c>
    </row>
    <row r="757" spans="1:12" x14ac:dyDescent="0.2">
      <c r="A757" t="s">
        <v>21</v>
      </c>
      <c r="B757" t="s">
        <v>113</v>
      </c>
      <c r="C757" t="s">
        <v>197</v>
      </c>
      <c r="D757">
        <v>3035</v>
      </c>
      <c r="E757">
        <v>3035</v>
      </c>
      <c r="I757">
        <v>3035</v>
      </c>
      <c r="J757">
        <v>3035</v>
      </c>
    </row>
    <row r="758" spans="1:12" x14ac:dyDescent="0.2">
      <c r="A758" t="s">
        <v>21</v>
      </c>
      <c r="B758" t="s">
        <v>113</v>
      </c>
      <c r="C758" t="s">
        <v>198</v>
      </c>
      <c r="D758">
        <v>4301</v>
      </c>
      <c r="I758">
        <v>4301</v>
      </c>
    </row>
    <row r="759" spans="1:12" x14ac:dyDescent="0.2">
      <c r="A759" t="s">
        <v>21</v>
      </c>
      <c r="B759" t="s">
        <v>72</v>
      </c>
      <c r="C759" t="s">
        <v>195</v>
      </c>
      <c r="D759">
        <v>2175</v>
      </c>
      <c r="E759">
        <v>2175</v>
      </c>
      <c r="F759">
        <v>2175</v>
      </c>
      <c r="G759">
        <v>2175</v>
      </c>
      <c r="I759">
        <v>2175</v>
      </c>
      <c r="J759">
        <v>2175</v>
      </c>
      <c r="K759">
        <v>2175</v>
      </c>
      <c r="L759">
        <v>2175</v>
      </c>
    </row>
    <row r="760" spans="1:12" x14ac:dyDescent="0.2">
      <c r="A760" t="s">
        <v>21</v>
      </c>
      <c r="B760" t="s">
        <v>72</v>
      </c>
      <c r="C760" t="s">
        <v>196</v>
      </c>
      <c r="D760">
        <v>2137</v>
      </c>
      <c r="E760">
        <v>2137</v>
      </c>
      <c r="F760">
        <v>2137</v>
      </c>
      <c r="I760">
        <v>2137</v>
      </c>
      <c r="J760">
        <v>2137</v>
      </c>
      <c r="K760">
        <v>2137</v>
      </c>
    </row>
    <row r="761" spans="1:12" x14ac:dyDescent="0.2">
      <c r="A761" t="s">
        <v>21</v>
      </c>
      <c r="B761" t="s">
        <v>72</v>
      </c>
      <c r="C761" t="s">
        <v>197</v>
      </c>
      <c r="D761">
        <v>4249.5</v>
      </c>
      <c r="E761">
        <v>4249.5</v>
      </c>
      <c r="I761">
        <v>4249.5</v>
      </c>
      <c r="J761">
        <v>4249.5</v>
      </c>
    </row>
    <row r="762" spans="1:12" x14ac:dyDescent="0.2">
      <c r="A762" t="s">
        <v>21</v>
      </c>
      <c r="B762" t="s">
        <v>72</v>
      </c>
      <c r="C762" t="s">
        <v>198</v>
      </c>
      <c r="D762">
        <v>2471.5</v>
      </c>
      <c r="I762">
        <v>2471.5</v>
      </c>
    </row>
    <row r="763" spans="1:12" x14ac:dyDescent="0.2">
      <c r="A763" t="s">
        <v>22</v>
      </c>
      <c r="B763" t="s">
        <v>109</v>
      </c>
      <c r="C763" t="s">
        <v>195</v>
      </c>
      <c r="D763">
        <v>69608</v>
      </c>
      <c r="E763">
        <v>69608</v>
      </c>
      <c r="F763">
        <v>69945</v>
      </c>
      <c r="G763">
        <v>69945</v>
      </c>
      <c r="I763">
        <v>471</v>
      </c>
      <c r="J763">
        <v>1675</v>
      </c>
      <c r="K763">
        <v>3264.98</v>
      </c>
      <c r="L763">
        <v>4052.98</v>
      </c>
    </row>
    <row r="764" spans="1:12" x14ac:dyDescent="0.2">
      <c r="A764" t="s">
        <v>22</v>
      </c>
      <c r="B764" t="s">
        <v>109</v>
      </c>
      <c r="C764" t="s">
        <v>196</v>
      </c>
      <c r="D764">
        <v>140579</v>
      </c>
      <c r="E764">
        <v>140629</v>
      </c>
      <c r="F764">
        <v>140629</v>
      </c>
      <c r="I764">
        <v>800</v>
      </c>
      <c r="J764">
        <v>4370</v>
      </c>
      <c r="K764">
        <v>5150</v>
      </c>
    </row>
    <row r="765" spans="1:12" x14ac:dyDescent="0.2">
      <c r="A765" t="s">
        <v>22</v>
      </c>
      <c r="B765" t="s">
        <v>109</v>
      </c>
      <c r="C765" t="s">
        <v>197</v>
      </c>
      <c r="D765">
        <v>73729.2</v>
      </c>
      <c r="E765">
        <v>73729.2</v>
      </c>
      <c r="I765">
        <v>6154.2</v>
      </c>
      <c r="J765">
        <v>7649.2</v>
      </c>
    </row>
    <row r="766" spans="1:12" x14ac:dyDescent="0.2">
      <c r="A766" t="s">
        <v>22</v>
      </c>
      <c r="B766" t="s">
        <v>109</v>
      </c>
      <c r="C766" t="s">
        <v>198</v>
      </c>
      <c r="D766">
        <v>65000</v>
      </c>
      <c r="I766">
        <v>801</v>
      </c>
    </row>
    <row r="767" spans="1:12" x14ac:dyDescent="0.2">
      <c r="A767" t="s">
        <v>22</v>
      </c>
      <c r="B767" t="s">
        <v>145</v>
      </c>
      <c r="C767" t="s">
        <v>195</v>
      </c>
      <c r="D767">
        <v>25241</v>
      </c>
      <c r="E767">
        <v>25241</v>
      </c>
      <c r="F767">
        <v>24168</v>
      </c>
      <c r="G767">
        <v>24168</v>
      </c>
      <c r="I767">
        <v>3366</v>
      </c>
      <c r="J767">
        <v>4766</v>
      </c>
      <c r="K767">
        <v>6629</v>
      </c>
      <c r="L767">
        <v>7369</v>
      </c>
    </row>
    <row r="768" spans="1:12" x14ac:dyDescent="0.2">
      <c r="A768" t="s">
        <v>22</v>
      </c>
      <c r="B768" t="s">
        <v>145</v>
      </c>
      <c r="C768" t="s">
        <v>196</v>
      </c>
      <c r="D768">
        <v>81213</v>
      </c>
      <c r="E768">
        <v>80018</v>
      </c>
      <c r="F768">
        <v>79768</v>
      </c>
      <c r="I768">
        <v>5295</v>
      </c>
      <c r="J768">
        <v>8370</v>
      </c>
      <c r="K768">
        <v>9795</v>
      </c>
    </row>
    <row r="769" spans="1:12" x14ac:dyDescent="0.2">
      <c r="A769" t="s">
        <v>22</v>
      </c>
      <c r="B769" t="s">
        <v>145</v>
      </c>
      <c r="C769" t="s">
        <v>197</v>
      </c>
      <c r="D769">
        <v>32254.2</v>
      </c>
      <c r="E769">
        <v>31984.2</v>
      </c>
      <c r="I769">
        <v>6206.2</v>
      </c>
      <c r="J769">
        <v>8711.2000000000007</v>
      </c>
    </row>
    <row r="770" spans="1:12" x14ac:dyDescent="0.2">
      <c r="A770" t="s">
        <v>22</v>
      </c>
      <c r="B770" t="s">
        <v>145</v>
      </c>
      <c r="C770" t="s">
        <v>198</v>
      </c>
      <c r="D770">
        <v>27448</v>
      </c>
      <c r="I770">
        <v>3895</v>
      </c>
    </row>
    <row r="771" spans="1:12" x14ac:dyDescent="0.2">
      <c r="A771" t="s">
        <v>22</v>
      </c>
      <c r="B771" t="s">
        <v>110</v>
      </c>
      <c r="C771" t="s">
        <v>195</v>
      </c>
      <c r="D771">
        <v>34538</v>
      </c>
      <c r="E771">
        <v>34463</v>
      </c>
      <c r="F771">
        <v>33813</v>
      </c>
      <c r="G771">
        <v>33513</v>
      </c>
      <c r="I771">
        <v>7145</v>
      </c>
      <c r="J771">
        <v>10715</v>
      </c>
      <c r="K771">
        <v>12927</v>
      </c>
      <c r="L771">
        <v>14052</v>
      </c>
    </row>
    <row r="772" spans="1:12" x14ac:dyDescent="0.2">
      <c r="A772" t="s">
        <v>22</v>
      </c>
      <c r="B772" t="s">
        <v>110</v>
      </c>
      <c r="C772" t="s">
        <v>196</v>
      </c>
      <c r="D772">
        <v>47433</v>
      </c>
      <c r="E772">
        <v>44813</v>
      </c>
      <c r="F772">
        <v>44263</v>
      </c>
      <c r="I772">
        <v>9151</v>
      </c>
      <c r="J772">
        <v>15454</v>
      </c>
      <c r="K772">
        <v>18539</v>
      </c>
    </row>
    <row r="773" spans="1:12" x14ac:dyDescent="0.2">
      <c r="A773" t="s">
        <v>22</v>
      </c>
      <c r="B773" t="s">
        <v>110</v>
      </c>
      <c r="C773" t="s">
        <v>197</v>
      </c>
      <c r="D773">
        <v>60843</v>
      </c>
      <c r="E773">
        <v>57723</v>
      </c>
      <c r="I773">
        <v>7268</v>
      </c>
      <c r="J773">
        <v>12635</v>
      </c>
    </row>
    <row r="774" spans="1:12" x14ac:dyDescent="0.2">
      <c r="A774" t="s">
        <v>22</v>
      </c>
      <c r="B774" t="s">
        <v>110</v>
      </c>
      <c r="C774" t="s">
        <v>198</v>
      </c>
      <c r="D774">
        <v>36123</v>
      </c>
      <c r="I774">
        <v>6691</v>
      </c>
    </row>
    <row r="775" spans="1:12" x14ac:dyDescent="0.2">
      <c r="A775" t="s">
        <v>22</v>
      </c>
      <c r="B775" t="s">
        <v>116</v>
      </c>
      <c r="C775" t="s">
        <v>195</v>
      </c>
      <c r="D775">
        <v>3640</v>
      </c>
      <c r="E775">
        <v>3640</v>
      </c>
      <c r="F775">
        <v>3640</v>
      </c>
      <c r="G775">
        <v>3640</v>
      </c>
      <c r="I775">
        <v>20</v>
      </c>
      <c r="J775">
        <v>472</v>
      </c>
      <c r="K775">
        <v>503.5</v>
      </c>
      <c r="L775">
        <v>513.5</v>
      </c>
    </row>
    <row r="776" spans="1:12" x14ac:dyDescent="0.2">
      <c r="A776" t="s">
        <v>22</v>
      </c>
      <c r="B776" t="s">
        <v>116</v>
      </c>
      <c r="C776" t="s">
        <v>196</v>
      </c>
      <c r="D776">
        <v>3990</v>
      </c>
      <c r="E776">
        <v>3990</v>
      </c>
      <c r="F776">
        <v>3990</v>
      </c>
      <c r="I776">
        <v>229.5</v>
      </c>
      <c r="J776">
        <v>229.5</v>
      </c>
      <c r="K776">
        <v>329.5</v>
      </c>
    </row>
    <row r="777" spans="1:12" x14ac:dyDescent="0.2">
      <c r="A777" t="s">
        <v>22</v>
      </c>
      <c r="B777" t="s">
        <v>116</v>
      </c>
      <c r="C777" t="s">
        <v>197</v>
      </c>
      <c r="D777">
        <v>1800</v>
      </c>
      <c r="E777">
        <v>1800</v>
      </c>
      <c r="I777">
        <v>50</v>
      </c>
      <c r="J777">
        <v>552</v>
      </c>
    </row>
    <row r="778" spans="1:12" x14ac:dyDescent="0.2">
      <c r="A778" t="s">
        <v>22</v>
      </c>
      <c r="B778" t="s">
        <v>116</v>
      </c>
      <c r="C778" t="s">
        <v>198</v>
      </c>
      <c r="D778">
        <v>5050</v>
      </c>
      <c r="I778">
        <v>150</v>
      </c>
    </row>
    <row r="779" spans="1:12" x14ac:dyDescent="0.2">
      <c r="A779" t="s">
        <v>22</v>
      </c>
      <c r="B779" t="s">
        <v>114</v>
      </c>
      <c r="C779" t="s">
        <v>195</v>
      </c>
      <c r="D779">
        <v>91803</v>
      </c>
      <c r="E779">
        <v>97943</v>
      </c>
      <c r="F779">
        <v>95056</v>
      </c>
      <c r="G779">
        <v>94721</v>
      </c>
      <c r="I779">
        <v>26030.15</v>
      </c>
      <c r="J779">
        <v>42458</v>
      </c>
      <c r="K779">
        <v>51144.87</v>
      </c>
      <c r="L779">
        <v>53507.26</v>
      </c>
    </row>
    <row r="780" spans="1:12" x14ac:dyDescent="0.2">
      <c r="A780" t="s">
        <v>22</v>
      </c>
      <c r="B780" t="s">
        <v>114</v>
      </c>
      <c r="C780" t="s">
        <v>196</v>
      </c>
      <c r="D780">
        <v>94491</v>
      </c>
      <c r="E780">
        <v>89944</v>
      </c>
      <c r="F780">
        <v>88614</v>
      </c>
      <c r="I780">
        <v>31798.67</v>
      </c>
      <c r="J780">
        <v>47678.59</v>
      </c>
      <c r="K780">
        <v>54921.45</v>
      </c>
    </row>
    <row r="781" spans="1:12" x14ac:dyDescent="0.2">
      <c r="A781" t="s">
        <v>22</v>
      </c>
      <c r="B781" t="s">
        <v>114</v>
      </c>
      <c r="C781" t="s">
        <v>197</v>
      </c>
      <c r="D781">
        <v>117928.5</v>
      </c>
      <c r="E781">
        <v>115668.5</v>
      </c>
      <c r="I781">
        <v>29327.86</v>
      </c>
      <c r="J781">
        <v>46247.51</v>
      </c>
    </row>
    <row r="782" spans="1:12" x14ac:dyDescent="0.2">
      <c r="A782" t="s">
        <v>22</v>
      </c>
      <c r="B782" t="s">
        <v>114</v>
      </c>
      <c r="C782" t="s">
        <v>198</v>
      </c>
      <c r="D782">
        <v>62593</v>
      </c>
      <c r="I782">
        <v>16754.28</v>
      </c>
    </row>
    <row r="783" spans="1:12" x14ac:dyDescent="0.2">
      <c r="A783" t="s">
        <v>22</v>
      </c>
      <c r="B783" t="s">
        <v>111</v>
      </c>
      <c r="C783" t="s">
        <v>195</v>
      </c>
      <c r="D783">
        <v>39350.519999999997</v>
      </c>
      <c r="E783">
        <v>39350.519999999997</v>
      </c>
      <c r="F783">
        <v>39350.519999999997</v>
      </c>
      <c r="G783">
        <v>39350.519999999997</v>
      </c>
      <c r="I783">
        <v>35440.519999999997</v>
      </c>
      <c r="J783">
        <v>35440.519999999997</v>
      </c>
      <c r="K783">
        <v>35440.519999999997</v>
      </c>
      <c r="L783">
        <v>35440.519999999997</v>
      </c>
    </row>
    <row r="784" spans="1:12" x14ac:dyDescent="0.2">
      <c r="A784" t="s">
        <v>22</v>
      </c>
      <c r="B784" t="s">
        <v>111</v>
      </c>
      <c r="C784" t="s">
        <v>196</v>
      </c>
      <c r="D784">
        <v>135016.07</v>
      </c>
      <c r="E784">
        <v>135016.07</v>
      </c>
      <c r="F784">
        <v>135016.07</v>
      </c>
      <c r="I784">
        <v>132386.07</v>
      </c>
      <c r="J784">
        <v>134116.07</v>
      </c>
      <c r="K784">
        <v>134116.07</v>
      </c>
    </row>
    <row r="785" spans="1:12" x14ac:dyDescent="0.2">
      <c r="A785" t="s">
        <v>22</v>
      </c>
      <c r="B785" t="s">
        <v>111</v>
      </c>
      <c r="C785" t="s">
        <v>197</v>
      </c>
      <c r="D785">
        <v>82385.19</v>
      </c>
      <c r="E785">
        <v>82385.19</v>
      </c>
      <c r="I785">
        <v>80563.69</v>
      </c>
      <c r="J785">
        <v>80983.69</v>
      </c>
    </row>
    <row r="786" spans="1:12" x14ac:dyDescent="0.2">
      <c r="A786" t="s">
        <v>22</v>
      </c>
      <c r="B786" t="s">
        <v>111</v>
      </c>
      <c r="C786" t="s">
        <v>198</v>
      </c>
      <c r="D786">
        <v>84502.76</v>
      </c>
      <c r="I786">
        <v>82417.75</v>
      </c>
    </row>
    <row r="787" spans="1:12" x14ac:dyDescent="0.2">
      <c r="A787" t="s">
        <v>22</v>
      </c>
      <c r="B787" t="s">
        <v>112</v>
      </c>
      <c r="C787" t="s">
        <v>195</v>
      </c>
      <c r="D787">
        <v>39488.01</v>
      </c>
      <c r="E787">
        <v>39488.01</v>
      </c>
      <c r="F787">
        <v>39488.01</v>
      </c>
      <c r="G787">
        <v>39488.01</v>
      </c>
      <c r="I787">
        <v>34168.01</v>
      </c>
      <c r="J787">
        <v>34253.01</v>
      </c>
      <c r="K787">
        <v>34253.01</v>
      </c>
      <c r="L787">
        <v>34253.01</v>
      </c>
    </row>
    <row r="788" spans="1:12" x14ac:dyDescent="0.2">
      <c r="A788" t="s">
        <v>22</v>
      </c>
      <c r="B788" t="s">
        <v>112</v>
      </c>
      <c r="C788" t="s">
        <v>196</v>
      </c>
      <c r="D788">
        <v>44343.72</v>
      </c>
      <c r="E788">
        <v>44343.72</v>
      </c>
      <c r="F788">
        <v>44343.72</v>
      </c>
      <c r="I788">
        <v>40744.720000000001</v>
      </c>
      <c r="J788">
        <v>41748.720000000001</v>
      </c>
      <c r="K788">
        <v>41748.720000000001</v>
      </c>
    </row>
    <row r="789" spans="1:12" x14ac:dyDescent="0.2">
      <c r="A789" t="s">
        <v>22</v>
      </c>
      <c r="B789" t="s">
        <v>112</v>
      </c>
      <c r="C789" t="s">
        <v>197</v>
      </c>
      <c r="D789">
        <v>48902.41</v>
      </c>
      <c r="E789">
        <v>48512.41</v>
      </c>
      <c r="I789">
        <v>46442.41</v>
      </c>
      <c r="J789">
        <v>46832.41</v>
      </c>
    </row>
    <row r="790" spans="1:12" x14ac:dyDescent="0.2">
      <c r="A790" t="s">
        <v>22</v>
      </c>
      <c r="B790" t="s">
        <v>112</v>
      </c>
      <c r="C790" t="s">
        <v>198</v>
      </c>
      <c r="D790">
        <v>44870.96</v>
      </c>
      <c r="I790">
        <v>43230.9</v>
      </c>
    </row>
    <row r="791" spans="1:12" x14ac:dyDescent="0.2">
      <c r="A791" t="s">
        <v>22</v>
      </c>
      <c r="B791" t="s">
        <v>115</v>
      </c>
      <c r="C791" t="s">
        <v>195</v>
      </c>
      <c r="D791">
        <v>373077.01</v>
      </c>
      <c r="E791">
        <v>358229.01</v>
      </c>
      <c r="F791">
        <v>356018.01</v>
      </c>
      <c r="G791">
        <v>352988.01</v>
      </c>
      <c r="I791">
        <v>147223.13</v>
      </c>
      <c r="J791">
        <v>253419.71</v>
      </c>
      <c r="K791">
        <v>262209.21000000002</v>
      </c>
      <c r="L791">
        <v>269149.73</v>
      </c>
    </row>
    <row r="792" spans="1:12" x14ac:dyDescent="0.2">
      <c r="A792" t="s">
        <v>22</v>
      </c>
      <c r="B792" t="s">
        <v>115</v>
      </c>
      <c r="C792" t="s">
        <v>196</v>
      </c>
      <c r="D792">
        <v>398794</v>
      </c>
      <c r="E792">
        <v>385481</v>
      </c>
      <c r="F792">
        <v>379948</v>
      </c>
      <c r="I792">
        <v>151843</v>
      </c>
      <c r="J792">
        <v>235709.16</v>
      </c>
      <c r="K792">
        <v>242355.7</v>
      </c>
    </row>
    <row r="793" spans="1:12" x14ac:dyDescent="0.2">
      <c r="A793" t="s">
        <v>22</v>
      </c>
      <c r="B793" t="s">
        <v>115</v>
      </c>
      <c r="C793" t="s">
        <v>197</v>
      </c>
      <c r="D793">
        <v>341921.5</v>
      </c>
      <c r="E793">
        <v>316121.5</v>
      </c>
      <c r="I793">
        <v>125391</v>
      </c>
      <c r="J793">
        <v>200875</v>
      </c>
    </row>
    <row r="794" spans="1:12" x14ac:dyDescent="0.2">
      <c r="A794" t="s">
        <v>22</v>
      </c>
      <c r="B794" t="s">
        <v>115</v>
      </c>
      <c r="C794" t="s">
        <v>198</v>
      </c>
      <c r="D794">
        <v>400458.5</v>
      </c>
      <c r="I794">
        <v>168710.5</v>
      </c>
    </row>
    <row r="795" spans="1:12" x14ac:dyDescent="0.2">
      <c r="A795" t="s">
        <v>22</v>
      </c>
      <c r="B795" t="s">
        <v>113</v>
      </c>
      <c r="C795" t="s">
        <v>195</v>
      </c>
      <c r="D795">
        <v>13144.75</v>
      </c>
      <c r="E795">
        <v>13144.75</v>
      </c>
      <c r="F795">
        <v>13144.75</v>
      </c>
      <c r="G795">
        <v>13144.75</v>
      </c>
      <c r="I795">
        <v>11744</v>
      </c>
      <c r="J795">
        <v>12144</v>
      </c>
      <c r="K795">
        <v>12144</v>
      </c>
      <c r="L795">
        <v>12144</v>
      </c>
    </row>
    <row r="796" spans="1:12" x14ac:dyDescent="0.2">
      <c r="A796" t="s">
        <v>22</v>
      </c>
      <c r="B796" t="s">
        <v>113</v>
      </c>
      <c r="C796" t="s">
        <v>196</v>
      </c>
      <c r="D796">
        <v>19446.7</v>
      </c>
      <c r="E796">
        <v>19446.7</v>
      </c>
      <c r="F796">
        <v>19446.7</v>
      </c>
      <c r="I796">
        <v>17504.900000000001</v>
      </c>
      <c r="J796">
        <v>18118.2</v>
      </c>
      <c r="K796">
        <v>18118.2</v>
      </c>
    </row>
    <row r="797" spans="1:12" x14ac:dyDescent="0.2">
      <c r="A797" t="s">
        <v>22</v>
      </c>
      <c r="B797" t="s">
        <v>113</v>
      </c>
      <c r="C797" t="s">
        <v>197</v>
      </c>
      <c r="D797">
        <v>15213.4</v>
      </c>
      <c r="E797">
        <v>15213.4</v>
      </c>
      <c r="I797">
        <v>14162.5</v>
      </c>
      <c r="J797">
        <v>14401.4</v>
      </c>
    </row>
    <row r="798" spans="1:12" x14ac:dyDescent="0.2">
      <c r="A798" t="s">
        <v>22</v>
      </c>
      <c r="B798" t="s">
        <v>113</v>
      </c>
      <c r="C798" t="s">
        <v>198</v>
      </c>
      <c r="D798">
        <v>14823.8</v>
      </c>
      <c r="I798">
        <v>13150.35</v>
      </c>
    </row>
    <row r="799" spans="1:12" x14ac:dyDescent="0.2">
      <c r="A799" t="s">
        <v>22</v>
      </c>
      <c r="B799" t="s">
        <v>72</v>
      </c>
      <c r="C799" t="s">
        <v>195</v>
      </c>
      <c r="D799">
        <v>13666.95</v>
      </c>
      <c r="E799">
        <v>12591.95</v>
      </c>
      <c r="F799">
        <v>12591.95</v>
      </c>
      <c r="G799">
        <v>12591.95</v>
      </c>
      <c r="I799">
        <v>11281.45</v>
      </c>
      <c r="J799">
        <v>11804.45</v>
      </c>
      <c r="K799">
        <v>11814.95</v>
      </c>
      <c r="L799">
        <v>11814.95</v>
      </c>
    </row>
    <row r="800" spans="1:12" x14ac:dyDescent="0.2">
      <c r="A800" t="s">
        <v>22</v>
      </c>
      <c r="B800" t="s">
        <v>72</v>
      </c>
      <c r="C800" t="s">
        <v>196</v>
      </c>
      <c r="D800">
        <v>18143.45</v>
      </c>
      <c r="E800">
        <v>18132.95</v>
      </c>
      <c r="F800">
        <v>18132.95</v>
      </c>
      <c r="I800">
        <v>16415.599999999999</v>
      </c>
      <c r="J800">
        <v>16730.099999999999</v>
      </c>
      <c r="K800">
        <v>16751.099999999999</v>
      </c>
    </row>
    <row r="801" spans="1:12" x14ac:dyDescent="0.2">
      <c r="A801" t="s">
        <v>22</v>
      </c>
      <c r="B801" t="s">
        <v>72</v>
      </c>
      <c r="C801" t="s">
        <v>197</v>
      </c>
      <c r="D801">
        <v>15699.45</v>
      </c>
      <c r="E801">
        <v>14884.45</v>
      </c>
      <c r="I801">
        <v>13215.45</v>
      </c>
      <c r="J801">
        <v>13267.95</v>
      </c>
    </row>
    <row r="802" spans="1:12" x14ac:dyDescent="0.2">
      <c r="A802" t="s">
        <v>22</v>
      </c>
      <c r="B802" t="s">
        <v>72</v>
      </c>
      <c r="C802" t="s">
        <v>198</v>
      </c>
      <c r="D802">
        <v>14735.95</v>
      </c>
      <c r="I802">
        <v>12034.1</v>
      </c>
    </row>
    <row r="803" spans="1:12" x14ac:dyDescent="0.2">
      <c r="A803" t="s">
        <v>23</v>
      </c>
      <c r="B803" t="s">
        <v>109</v>
      </c>
      <c r="C803" t="s">
        <v>195</v>
      </c>
      <c r="D803">
        <v>68666</v>
      </c>
      <c r="E803">
        <v>68716</v>
      </c>
      <c r="F803">
        <v>68716</v>
      </c>
      <c r="G803">
        <v>68716</v>
      </c>
      <c r="I803">
        <v>109</v>
      </c>
      <c r="J803">
        <v>922</v>
      </c>
      <c r="K803">
        <v>1186</v>
      </c>
      <c r="L803">
        <v>2491</v>
      </c>
    </row>
    <row r="804" spans="1:12" x14ac:dyDescent="0.2">
      <c r="A804" t="s">
        <v>23</v>
      </c>
      <c r="B804" t="s">
        <v>109</v>
      </c>
      <c r="C804" t="s">
        <v>196</v>
      </c>
      <c r="D804">
        <v>26623</v>
      </c>
      <c r="E804">
        <v>26623</v>
      </c>
      <c r="F804">
        <v>27125</v>
      </c>
      <c r="I804">
        <v>288</v>
      </c>
      <c r="J804">
        <v>794</v>
      </c>
      <c r="K804">
        <v>1473</v>
      </c>
    </row>
    <row r="805" spans="1:12" x14ac:dyDescent="0.2">
      <c r="A805" t="s">
        <v>23</v>
      </c>
      <c r="B805" t="s">
        <v>109</v>
      </c>
      <c r="C805" t="s">
        <v>197</v>
      </c>
      <c r="D805">
        <v>70831</v>
      </c>
      <c r="E805">
        <v>70831</v>
      </c>
      <c r="I805">
        <v>260</v>
      </c>
      <c r="J805">
        <v>930</v>
      </c>
    </row>
    <row r="806" spans="1:12" x14ac:dyDescent="0.2">
      <c r="A806" t="s">
        <v>23</v>
      </c>
      <c r="B806" t="s">
        <v>109</v>
      </c>
      <c r="C806" t="s">
        <v>198</v>
      </c>
      <c r="D806">
        <v>16556</v>
      </c>
      <c r="I806">
        <v>102</v>
      </c>
    </row>
    <row r="807" spans="1:12" x14ac:dyDescent="0.2">
      <c r="A807" t="s">
        <v>23</v>
      </c>
      <c r="B807" t="s">
        <v>145</v>
      </c>
      <c r="C807" t="s">
        <v>195</v>
      </c>
      <c r="D807">
        <v>53072</v>
      </c>
      <c r="E807">
        <v>53072</v>
      </c>
      <c r="F807">
        <v>53072</v>
      </c>
      <c r="G807">
        <v>53072</v>
      </c>
      <c r="I807">
        <v>0</v>
      </c>
      <c r="J807">
        <v>0</v>
      </c>
      <c r="K807">
        <v>0</v>
      </c>
      <c r="L807">
        <v>0</v>
      </c>
    </row>
    <row r="808" spans="1:12" x14ac:dyDescent="0.2">
      <c r="A808" t="s">
        <v>23</v>
      </c>
      <c r="B808" t="s">
        <v>145</v>
      </c>
      <c r="C808" t="s">
        <v>196</v>
      </c>
      <c r="D808">
        <v>0</v>
      </c>
      <c r="E808">
        <v>0</v>
      </c>
      <c r="F808">
        <v>0</v>
      </c>
      <c r="I808">
        <v>0</v>
      </c>
      <c r="J808">
        <v>0</v>
      </c>
      <c r="K808">
        <v>0</v>
      </c>
    </row>
    <row r="809" spans="1:12" x14ac:dyDescent="0.2">
      <c r="A809" t="s">
        <v>23</v>
      </c>
      <c r="B809" t="s">
        <v>145</v>
      </c>
      <c r="C809" t="s">
        <v>197</v>
      </c>
      <c r="D809">
        <v>53072</v>
      </c>
      <c r="E809">
        <v>53072</v>
      </c>
      <c r="I809">
        <v>0</v>
      </c>
      <c r="J809">
        <v>0</v>
      </c>
    </row>
    <row r="810" spans="1:12" x14ac:dyDescent="0.2">
      <c r="A810" t="s">
        <v>23</v>
      </c>
      <c r="B810" t="s">
        <v>145</v>
      </c>
      <c r="C810" t="s">
        <v>198</v>
      </c>
      <c r="D810">
        <v>0</v>
      </c>
      <c r="I810">
        <v>0</v>
      </c>
    </row>
    <row r="811" spans="1:12" x14ac:dyDescent="0.2">
      <c r="A811" t="s">
        <v>23</v>
      </c>
      <c r="B811" t="s">
        <v>110</v>
      </c>
      <c r="C811" t="s">
        <v>195</v>
      </c>
      <c r="D811">
        <v>9556</v>
      </c>
      <c r="E811">
        <v>9556</v>
      </c>
      <c r="F811">
        <v>9556</v>
      </c>
      <c r="G811">
        <v>9556</v>
      </c>
      <c r="I811">
        <v>1675</v>
      </c>
      <c r="J811">
        <v>2041</v>
      </c>
      <c r="K811">
        <v>2519</v>
      </c>
      <c r="L811">
        <v>2544</v>
      </c>
    </row>
    <row r="812" spans="1:12" x14ac:dyDescent="0.2">
      <c r="A812" t="s">
        <v>23</v>
      </c>
      <c r="B812" t="s">
        <v>110</v>
      </c>
      <c r="C812" t="s">
        <v>196</v>
      </c>
      <c r="D812">
        <v>8241</v>
      </c>
      <c r="E812">
        <v>8241</v>
      </c>
      <c r="F812">
        <v>8241</v>
      </c>
      <c r="I812">
        <v>777</v>
      </c>
      <c r="J812">
        <v>2183</v>
      </c>
      <c r="K812">
        <v>2732</v>
      </c>
    </row>
    <row r="813" spans="1:12" x14ac:dyDescent="0.2">
      <c r="A813" t="s">
        <v>23</v>
      </c>
      <c r="B813" t="s">
        <v>110</v>
      </c>
      <c r="C813" t="s">
        <v>197</v>
      </c>
      <c r="D813">
        <v>16368</v>
      </c>
      <c r="E813">
        <v>16568</v>
      </c>
      <c r="I813">
        <v>2324</v>
      </c>
      <c r="J813">
        <v>4638</v>
      </c>
    </row>
    <row r="814" spans="1:12" x14ac:dyDescent="0.2">
      <c r="A814" t="s">
        <v>23</v>
      </c>
      <c r="B814" t="s">
        <v>110</v>
      </c>
      <c r="C814" t="s">
        <v>198</v>
      </c>
      <c r="D814">
        <v>13440</v>
      </c>
      <c r="I814">
        <v>3451</v>
      </c>
    </row>
    <row r="815" spans="1:12" x14ac:dyDescent="0.2">
      <c r="A815" t="s">
        <v>23</v>
      </c>
      <c r="B815" t="s">
        <v>116</v>
      </c>
      <c r="C815" t="s">
        <v>195</v>
      </c>
      <c r="D815">
        <v>440</v>
      </c>
      <c r="E815">
        <v>440</v>
      </c>
      <c r="F815">
        <v>440</v>
      </c>
      <c r="G815">
        <v>440</v>
      </c>
      <c r="I815">
        <v>0</v>
      </c>
      <c r="J815">
        <v>0</v>
      </c>
      <c r="K815">
        <v>0</v>
      </c>
      <c r="L815">
        <v>0</v>
      </c>
    </row>
    <row r="816" spans="1:12" x14ac:dyDescent="0.2">
      <c r="A816" t="s">
        <v>23</v>
      </c>
      <c r="B816" t="s">
        <v>116</v>
      </c>
      <c r="C816" t="s">
        <v>196</v>
      </c>
      <c r="D816">
        <v>250</v>
      </c>
      <c r="E816">
        <v>250</v>
      </c>
      <c r="F816">
        <v>250</v>
      </c>
      <c r="I816">
        <v>0</v>
      </c>
      <c r="J816">
        <v>0</v>
      </c>
      <c r="K816">
        <v>0</v>
      </c>
    </row>
    <row r="817" spans="1:12" x14ac:dyDescent="0.2">
      <c r="A817" t="s">
        <v>23</v>
      </c>
      <c r="B817" t="s">
        <v>116</v>
      </c>
      <c r="C817" t="s">
        <v>197</v>
      </c>
      <c r="D817">
        <v>0</v>
      </c>
      <c r="E817">
        <v>0</v>
      </c>
      <c r="I817">
        <v>0</v>
      </c>
      <c r="J817">
        <v>0</v>
      </c>
    </row>
    <row r="818" spans="1:12" x14ac:dyDescent="0.2">
      <c r="A818" t="s">
        <v>23</v>
      </c>
      <c r="B818" t="s">
        <v>116</v>
      </c>
      <c r="C818" t="s">
        <v>198</v>
      </c>
      <c r="D818">
        <v>0</v>
      </c>
      <c r="I818">
        <v>0</v>
      </c>
    </row>
    <row r="819" spans="1:12" x14ac:dyDescent="0.2">
      <c r="A819" t="s">
        <v>23</v>
      </c>
      <c r="B819" t="s">
        <v>114</v>
      </c>
      <c r="C819" t="s">
        <v>195</v>
      </c>
      <c r="D819">
        <v>11317</v>
      </c>
      <c r="E819">
        <v>11292</v>
      </c>
      <c r="F819">
        <v>10976</v>
      </c>
      <c r="G819">
        <v>10951</v>
      </c>
      <c r="I819">
        <v>1808</v>
      </c>
      <c r="J819">
        <v>2791</v>
      </c>
      <c r="K819">
        <v>3261</v>
      </c>
      <c r="L819">
        <v>4427</v>
      </c>
    </row>
    <row r="820" spans="1:12" x14ac:dyDescent="0.2">
      <c r="A820" t="s">
        <v>23</v>
      </c>
      <c r="B820" t="s">
        <v>114</v>
      </c>
      <c r="C820" t="s">
        <v>196</v>
      </c>
      <c r="D820">
        <v>17837</v>
      </c>
      <c r="E820">
        <v>17837</v>
      </c>
      <c r="F820">
        <v>17812</v>
      </c>
      <c r="I820">
        <v>5515</v>
      </c>
      <c r="J820">
        <v>8508</v>
      </c>
      <c r="K820">
        <v>9845</v>
      </c>
    </row>
    <row r="821" spans="1:12" x14ac:dyDescent="0.2">
      <c r="A821" t="s">
        <v>23</v>
      </c>
      <c r="B821" t="s">
        <v>114</v>
      </c>
      <c r="C821" t="s">
        <v>197</v>
      </c>
      <c r="D821">
        <v>15950</v>
      </c>
      <c r="E821">
        <v>15925</v>
      </c>
      <c r="I821">
        <v>2724</v>
      </c>
      <c r="J821">
        <v>3854</v>
      </c>
    </row>
    <row r="822" spans="1:12" x14ac:dyDescent="0.2">
      <c r="A822" t="s">
        <v>23</v>
      </c>
      <c r="B822" t="s">
        <v>114</v>
      </c>
      <c r="C822" t="s">
        <v>198</v>
      </c>
      <c r="D822">
        <v>11486</v>
      </c>
      <c r="I822">
        <v>3901</v>
      </c>
    </row>
    <row r="823" spans="1:12" x14ac:dyDescent="0.2">
      <c r="A823" t="s">
        <v>23</v>
      </c>
      <c r="B823" t="s">
        <v>111</v>
      </c>
      <c r="C823" t="s">
        <v>195</v>
      </c>
      <c r="D823">
        <v>13166</v>
      </c>
      <c r="E823">
        <v>12766</v>
      </c>
      <c r="F823">
        <v>12766</v>
      </c>
      <c r="G823">
        <v>12766</v>
      </c>
      <c r="I823">
        <v>12766</v>
      </c>
      <c r="J823">
        <v>12766</v>
      </c>
      <c r="K823">
        <v>12766</v>
      </c>
      <c r="L823">
        <v>12766</v>
      </c>
    </row>
    <row r="824" spans="1:12" x14ac:dyDescent="0.2">
      <c r="A824" t="s">
        <v>23</v>
      </c>
      <c r="B824" t="s">
        <v>111</v>
      </c>
      <c r="C824" t="s">
        <v>196</v>
      </c>
      <c r="D824">
        <v>7543</v>
      </c>
      <c r="E824">
        <v>7523</v>
      </c>
      <c r="F824">
        <v>7523</v>
      </c>
      <c r="I824">
        <v>7523</v>
      </c>
      <c r="J824">
        <v>7523</v>
      </c>
      <c r="K824">
        <v>7523</v>
      </c>
    </row>
    <row r="825" spans="1:12" x14ac:dyDescent="0.2">
      <c r="A825" t="s">
        <v>23</v>
      </c>
      <c r="B825" t="s">
        <v>111</v>
      </c>
      <c r="C825" t="s">
        <v>197</v>
      </c>
      <c r="D825">
        <v>18214</v>
      </c>
      <c r="E825">
        <v>18216</v>
      </c>
      <c r="I825">
        <v>18214</v>
      </c>
      <c r="J825">
        <v>18216</v>
      </c>
    </row>
    <row r="826" spans="1:12" x14ac:dyDescent="0.2">
      <c r="A826" t="s">
        <v>23</v>
      </c>
      <c r="B826" t="s">
        <v>111</v>
      </c>
      <c r="C826" t="s">
        <v>198</v>
      </c>
      <c r="D826">
        <v>12079</v>
      </c>
      <c r="I826">
        <v>12079</v>
      </c>
    </row>
    <row r="827" spans="1:12" x14ac:dyDescent="0.2">
      <c r="A827" t="s">
        <v>23</v>
      </c>
      <c r="B827" t="s">
        <v>112</v>
      </c>
      <c r="C827" t="s">
        <v>195</v>
      </c>
      <c r="D827">
        <v>12750</v>
      </c>
      <c r="E827">
        <v>12450</v>
      </c>
      <c r="F827">
        <v>12450</v>
      </c>
      <c r="G827">
        <v>12450</v>
      </c>
      <c r="I827">
        <v>12450</v>
      </c>
      <c r="J827">
        <v>12450</v>
      </c>
      <c r="K827">
        <v>12450</v>
      </c>
      <c r="L827">
        <v>12450</v>
      </c>
    </row>
    <row r="828" spans="1:12" x14ac:dyDescent="0.2">
      <c r="A828" t="s">
        <v>23</v>
      </c>
      <c r="B828" t="s">
        <v>112</v>
      </c>
      <c r="C828" t="s">
        <v>196</v>
      </c>
      <c r="D828">
        <v>10725</v>
      </c>
      <c r="E828">
        <v>10725</v>
      </c>
      <c r="F828">
        <v>10725</v>
      </c>
      <c r="I828">
        <v>10725</v>
      </c>
      <c r="J828">
        <v>10725</v>
      </c>
      <c r="K828">
        <v>10725</v>
      </c>
    </row>
    <row r="829" spans="1:12" x14ac:dyDescent="0.2">
      <c r="A829" t="s">
        <v>23</v>
      </c>
      <c r="B829" t="s">
        <v>112</v>
      </c>
      <c r="C829" t="s">
        <v>197</v>
      </c>
      <c r="D829">
        <v>10082</v>
      </c>
      <c r="E829">
        <v>10082</v>
      </c>
      <c r="I829">
        <v>9687</v>
      </c>
      <c r="J829">
        <v>10082</v>
      </c>
    </row>
    <row r="830" spans="1:12" x14ac:dyDescent="0.2">
      <c r="A830" t="s">
        <v>23</v>
      </c>
      <c r="B830" t="s">
        <v>112</v>
      </c>
      <c r="C830" t="s">
        <v>198</v>
      </c>
      <c r="D830">
        <v>9125</v>
      </c>
      <c r="I830">
        <v>9115</v>
      </c>
    </row>
    <row r="831" spans="1:12" x14ac:dyDescent="0.2">
      <c r="A831" t="s">
        <v>23</v>
      </c>
      <c r="B831" t="s">
        <v>115</v>
      </c>
      <c r="C831" t="s">
        <v>195</v>
      </c>
      <c r="D831">
        <v>27222</v>
      </c>
      <c r="E831">
        <v>26662</v>
      </c>
      <c r="F831">
        <v>26569</v>
      </c>
      <c r="G831">
        <v>26311</v>
      </c>
      <c r="I831">
        <v>14547</v>
      </c>
      <c r="J831">
        <v>20302</v>
      </c>
      <c r="K831">
        <v>21330</v>
      </c>
      <c r="L831">
        <v>21499</v>
      </c>
    </row>
    <row r="832" spans="1:12" x14ac:dyDescent="0.2">
      <c r="A832" t="s">
        <v>23</v>
      </c>
      <c r="B832" t="s">
        <v>115</v>
      </c>
      <c r="C832" t="s">
        <v>196</v>
      </c>
      <c r="D832">
        <v>24462</v>
      </c>
      <c r="E832">
        <v>23443</v>
      </c>
      <c r="F832">
        <v>23443</v>
      </c>
      <c r="I832">
        <v>13481</v>
      </c>
      <c r="J832">
        <v>20040</v>
      </c>
      <c r="K832">
        <v>21309</v>
      </c>
    </row>
    <row r="833" spans="1:12" x14ac:dyDescent="0.2">
      <c r="A833" t="s">
        <v>23</v>
      </c>
      <c r="B833" t="s">
        <v>115</v>
      </c>
      <c r="C833" t="s">
        <v>197</v>
      </c>
      <c r="D833">
        <v>41376</v>
      </c>
      <c r="E833">
        <v>39826</v>
      </c>
      <c r="I833">
        <v>19821</v>
      </c>
      <c r="J833">
        <v>29518</v>
      </c>
    </row>
    <row r="834" spans="1:12" x14ac:dyDescent="0.2">
      <c r="A834" t="s">
        <v>23</v>
      </c>
      <c r="B834" t="s">
        <v>115</v>
      </c>
      <c r="C834" t="s">
        <v>198</v>
      </c>
      <c r="D834">
        <v>24946</v>
      </c>
      <c r="I834">
        <v>10160</v>
      </c>
    </row>
    <row r="835" spans="1:12" x14ac:dyDescent="0.2">
      <c r="A835" t="s">
        <v>23</v>
      </c>
      <c r="B835" t="s">
        <v>113</v>
      </c>
      <c r="C835" t="s">
        <v>195</v>
      </c>
      <c r="D835">
        <v>3299</v>
      </c>
      <c r="E835">
        <v>3299</v>
      </c>
      <c r="F835">
        <v>3299</v>
      </c>
      <c r="G835">
        <v>3299</v>
      </c>
      <c r="I835">
        <v>3299</v>
      </c>
      <c r="J835">
        <v>3299</v>
      </c>
      <c r="K835">
        <v>3299</v>
      </c>
      <c r="L835">
        <v>3299</v>
      </c>
    </row>
    <row r="836" spans="1:12" x14ac:dyDescent="0.2">
      <c r="A836" t="s">
        <v>23</v>
      </c>
      <c r="B836" t="s">
        <v>113</v>
      </c>
      <c r="C836" t="s">
        <v>196</v>
      </c>
      <c r="D836">
        <v>4630</v>
      </c>
      <c r="E836">
        <v>4630</v>
      </c>
      <c r="F836">
        <v>4630</v>
      </c>
      <c r="I836">
        <v>4285</v>
      </c>
      <c r="J836">
        <v>4630</v>
      </c>
      <c r="K836">
        <v>4630</v>
      </c>
    </row>
    <row r="837" spans="1:12" x14ac:dyDescent="0.2">
      <c r="A837" t="s">
        <v>23</v>
      </c>
      <c r="B837" t="s">
        <v>113</v>
      </c>
      <c r="C837" t="s">
        <v>197</v>
      </c>
      <c r="D837">
        <v>5528</v>
      </c>
      <c r="E837">
        <v>5528</v>
      </c>
      <c r="I837">
        <v>5528</v>
      </c>
      <c r="J837">
        <v>5528</v>
      </c>
    </row>
    <row r="838" spans="1:12" x14ac:dyDescent="0.2">
      <c r="A838" t="s">
        <v>23</v>
      </c>
      <c r="B838" t="s">
        <v>113</v>
      </c>
      <c r="C838" t="s">
        <v>198</v>
      </c>
      <c r="D838">
        <v>1824</v>
      </c>
      <c r="I838">
        <v>1824</v>
      </c>
    </row>
    <row r="839" spans="1:12" x14ac:dyDescent="0.2">
      <c r="A839" t="s">
        <v>23</v>
      </c>
      <c r="B839" t="s">
        <v>72</v>
      </c>
      <c r="C839" t="s">
        <v>195</v>
      </c>
      <c r="D839">
        <v>6882</v>
      </c>
      <c r="E839">
        <v>6882</v>
      </c>
      <c r="F839">
        <v>7002</v>
      </c>
      <c r="G839">
        <v>7002</v>
      </c>
      <c r="I839">
        <v>6872</v>
      </c>
      <c r="J839">
        <v>6872</v>
      </c>
      <c r="K839">
        <v>6992</v>
      </c>
      <c r="L839">
        <v>6992</v>
      </c>
    </row>
    <row r="840" spans="1:12" x14ac:dyDescent="0.2">
      <c r="A840" t="s">
        <v>23</v>
      </c>
      <c r="B840" t="s">
        <v>72</v>
      </c>
      <c r="C840" t="s">
        <v>196</v>
      </c>
      <c r="D840">
        <v>13738</v>
      </c>
      <c r="E840">
        <v>13738</v>
      </c>
      <c r="F840">
        <v>13738</v>
      </c>
      <c r="I840">
        <v>12622</v>
      </c>
      <c r="J840">
        <v>12622</v>
      </c>
      <c r="K840">
        <v>12622</v>
      </c>
    </row>
    <row r="841" spans="1:12" x14ac:dyDescent="0.2">
      <c r="A841" t="s">
        <v>23</v>
      </c>
      <c r="B841" t="s">
        <v>72</v>
      </c>
      <c r="C841" t="s">
        <v>197</v>
      </c>
      <c r="D841">
        <v>12473</v>
      </c>
      <c r="E841">
        <v>12473</v>
      </c>
      <c r="I841">
        <v>10655</v>
      </c>
      <c r="J841">
        <v>10655</v>
      </c>
    </row>
    <row r="842" spans="1:12" x14ac:dyDescent="0.2">
      <c r="A842" t="s">
        <v>23</v>
      </c>
      <c r="B842" t="s">
        <v>72</v>
      </c>
      <c r="C842" t="s">
        <v>198</v>
      </c>
      <c r="D842">
        <v>11133</v>
      </c>
      <c r="I842">
        <v>10017</v>
      </c>
    </row>
    <row r="843" spans="1:12" x14ac:dyDescent="0.2">
      <c r="A843" t="s">
        <v>24</v>
      </c>
      <c r="B843" t="s">
        <v>109</v>
      </c>
      <c r="C843" t="s">
        <v>195</v>
      </c>
      <c r="D843">
        <v>20556.3</v>
      </c>
      <c r="E843">
        <v>20556.3</v>
      </c>
      <c r="F843">
        <v>20556.3</v>
      </c>
      <c r="G843">
        <v>20556.3</v>
      </c>
      <c r="I843">
        <v>282.38</v>
      </c>
      <c r="J843">
        <v>397.76</v>
      </c>
      <c r="K843">
        <v>1216.22</v>
      </c>
      <c r="L843">
        <v>1384.5</v>
      </c>
    </row>
    <row r="844" spans="1:12" x14ac:dyDescent="0.2">
      <c r="A844" t="s">
        <v>24</v>
      </c>
      <c r="B844" t="s">
        <v>109</v>
      </c>
      <c r="C844" t="s">
        <v>196</v>
      </c>
      <c r="D844">
        <v>24591</v>
      </c>
      <c r="E844">
        <v>24591</v>
      </c>
      <c r="F844">
        <v>24591</v>
      </c>
      <c r="I844">
        <v>812.5</v>
      </c>
      <c r="J844">
        <v>2090.61</v>
      </c>
      <c r="K844">
        <v>3484.39</v>
      </c>
    </row>
    <row r="845" spans="1:12" x14ac:dyDescent="0.2">
      <c r="A845" t="s">
        <v>24</v>
      </c>
      <c r="B845" t="s">
        <v>109</v>
      </c>
      <c r="C845" t="s">
        <v>197</v>
      </c>
      <c r="D845">
        <v>17450.25</v>
      </c>
      <c r="E845">
        <v>17450.25</v>
      </c>
      <c r="I845">
        <v>569.80999999999995</v>
      </c>
      <c r="J845">
        <v>1904.51</v>
      </c>
    </row>
    <row r="846" spans="1:12" x14ac:dyDescent="0.2">
      <c r="A846" t="s">
        <v>24</v>
      </c>
      <c r="B846" t="s">
        <v>109</v>
      </c>
      <c r="C846" t="s">
        <v>198</v>
      </c>
      <c r="D846">
        <v>29996</v>
      </c>
      <c r="I846">
        <v>1508</v>
      </c>
    </row>
    <row r="847" spans="1:12" x14ac:dyDescent="0.2">
      <c r="A847" t="s">
        <v>24</v>
      </c>
      <c r="B847" t="s">
        <v>145</v>
      </c>
      <c r="C847" t="s">
        <v>195</v>
      </c>
      <c r="D847">
        <v>0</v>
      </c>
      <c r="E847">
        <v>0</v>
      </c>
      <c r="F847">
        <v>0</v>
      </c>
      <c r="G847">
        <v>0</v>
      </c>
      <c r="I847">
        <v>0</v>
      </c>
      <c r="J847">
        <v>0</v>
      </c>
      <c r="K847">
        <v>0</v>
      </c>
      <c r="L847">
        <v>0</v>
      </c>
    </row>
    <row r="848" spans="1:12" x14ac:dyDescent="0.2">
      <c r="A848" t="s">
        <v>24</v>
      </c>
      <c r="B848" t="s">
        <v>145</v>
      </c>
      <c r="C848" t="s">
        <v>196</v>
      </c>
      <c r="D848">
        <v>0</v>
      </c>
      <c r="E848">
        <v>0</v>
      </c>
      <c r="F848">
        <v>0</v>
      </c>
      <c r="I848">
        <v>0</v>
      </c>
      <c r="J848">
        <v>0</v>
      </c>
      <c r="K848">
        <v>0</v>
      </c>
    </row>
    <row r="849" spans="1:12" x14ac:dyDescent="0.2">
      <c r="A849" t="s">
        <v>24</v>
      </c>
      <c r="B849" t="s">
        <v>145</v>
      </c>
      <c r="C849" t="s">
        <v>197</v>
      </c>
      <c r="D849">
        <v>0</v>
      </c>
      <c r="E849">
        <v>0</v>
      </c>
      <c r="I849">
        <v>0</v>
      </c>
      <c r="J849">
        <v>0</v>
      </c>
    </row>
    <row r="850" spans="1:12" x14ac:dyDescent="0.2">
      <c r="A850" t="s">
        <v>24</v>
      </c>
      <c r="B850" t="s">
        <v>145</v>
      </c>
      <c r="C850" t="s">
        <v>198</v>
      </c>
      <c r="D850">
        <v>0</v>
      </c>
      <c r="I850">
        <v>0</v>
      </c>
    </row>
    <row r="851" spans="1:12" x14ac:dyDescent="0.2">
      <c r="A851" t="s">
        <v>24</v>
      </c>
      <c r="B851" t="s">
        <v>110</v>
      </c>
      <c r="C851" t="s">
        <v>195</v>
      </c>
      <c r="D851">
        <v>9712</v>
      </c>
      <c r="E851">
        <v>8869.5</v>
      </c>
      <c r="F851">
        <v>8869.5</v>
      </c>
      <c r="G851">
        <v>8869.5</v>
      </c>
      <c r="I851">
        <v>3122</v>
      </c>
      <c r="J851">
        <v>4027.5</v>
      </c>
      <c r="K851">
        <v>4077.5</v>
      </c>
      <c r="L851">
        <v>5442.5</v>
      </c>
    </row>
    <row r="852" spans="1:12" x14ac:dyDescent="0.2">
      <c r="A852" t="s">
        <v>24</v>
      </c>
      <c r="B852" t="s">
        <v>110</v>
      </c>
      <c r="C852" t="s">
        <v>196</v>
      </c>
      <c r="D852">
        <v>16299.5</v>
      </c>
      <c r="E852">
        <v>16299.5</v>
      </c>
      <c r="F852">
        <v>16299.5</v>
      </c>
      <c r="I852">
        <v>5414.5</v>
      </c>
      <c r="J852">
        <v>8444.5</v>
      </c>
      <c r="K852">
        <v>8834.5</v>
      </c>
    </row>
    <row r="853" spans="1:12" x14ac:dyDescent="0.2">
      <c r="A853" t="s">
        <v>24</v>
      </c>
      <c r="B853" t="s">
        <v>110</v>
      </c>
      <c r="C853" t="s">
        <v>197</v>
      </c>
      <c r="D853">
        <v>11434.2</v>
      </c>
      <c r="E853">
        <v>11404.5</v>
      </c>
      <c r="I853">
        <v>4126</v>
      </c>
      <c r="J853">
        <v>7187.5</v>
      </c>
    </row>
    <row r="854" spans="1:12" x14ac:dyDescent="0.2">
      <c r="A854" t="s">
        <v>24</v>
      </c>
      <c r="B854" t="s">
        <v>110</v>
      </c>
      <c r="C854" t="s">
        <v>198</v>
      </c>
      <c r="D854">
        <v>12029.5</v>
      </c>
      <c r="I854">
        <v>4650.5</v>
      </c>
    </row>
    <row r="855" spans="1:12" x14ac:dyDescent="0.2">
      <c r="A855" t="s">
        <v>24</v>
      </c>
      <c r="B855" t="s">
        <v>116</v>
      </c>
      <c r="C855" t="s">
        <v>195</v>
      </c>
      <c r="D855">
        <v>50</v>
      </c>
      <c r="E855">
        <v>50</v>
      </c>
      <c r="F855">
        <v>0</v>
      </c>
      <c r="G855">
        <v>50</v>
      </c>
      <c r="I855">
        <v>0</v>
      </c>
      <c r="J855">
        <v>0</v>
      </c>
      <c r="K855">
        <v>0</v>
      </c>
      <c r="L855">
        <v>0</v>
      </c>
    </row>
    <row r="856" spans="1:12" x14ac:dyDescent="0.2">
      <c r="A856" t="s">
        <v>24</v>
      </c>
      <c r="B856" t="s">
        <v>116</v>
      </c>
      <c r="C856" t="s">
        <v>196</v>
      </c>
      <c r="D856">
        <v>400</v>
      </c>
      <c r="E856">
        <v>0</v>
      </c>
      <c r="F856">
        <v>40</v>
      </c>
      <c r="I856">
        <v>0</v>
      </c>
      <c r="J856">
        <v>0</v>
      </c>
      <c r="K856">
        <v>0</v>
      </c>
    </row>
    <row r="857" spans="1:12" x14ac:dyDescent="0.2">
      <c r="A857" t="s">
        <v>24</v>
      </c>
      <c r="B857" t="s">
        <v>116</v>
      </c>
      <c r="C857" t="s">
        <v>197</v>
      </c>
      <c r="D857">
        <v>50</v>
      </c>
      <c r="E857">
        <v>50</v>
      </c>
      <c r="I857">
        <v>0</v>
      </c>
      <c r="J857">
        <v>0</v>
      </c>
    </row>
    <row r="858" spans="1:12" x14ac:dyDescent="0.2">
      <c r="A858" t="s">
        <v>24</v>
      </c>
      <c r="B858" t="s">
        <v>116</v>
      </c>
      <c r="C858" t="s">
        <v>198</v>
      </c>
      <c r="D858">
        <v>0</v>
      </c>
      <c r="I858">
        <v>0</v>
      </c>
    </row>
    <row r="859" spans="1:12" x14ac:dyDescent="0.2">
      <c r="A859" t="s">
        <v>24</v>
      </c>
      <c r="B859" t="s">
        <v>114</v>
      </c>
      <c r="C859" t="s">
        <v>195</v>
      </c>
      <c r="D859">
        <v>16389</v>
      </c>
      <c r="E859">
        <v>16389</v>
      </c>
      <c r="F859">
        <v>16389</v>
      </c>
      <c r="G859">
        <v>16389</v>
      </c>
      <c r="I859">
        <v>7008.5</v>
      </c>
      <c r="J859">
        <v>10445.5</v>
      </c>
      <c r="K859">
        <v>10791.5</v>
      </c>
      <c r="L859">
        <v>11009.5</v>
      </c>
    </row>
    <row r="860" spans="1:12" x14ac:dyDescent="0.2">
      <c r="A860" t="s">
        <v>24</v>
      </c>
      <c r="B860" t="s">
        <v>114</v>
      </c>
      <c r="C860" t="s">
        <v>196</v>
      </c>
      <c r="D860">
        <v>33928.5</v>
      </c>
      <c r="E860">
        <v>33978.5</v>
      </c>
      <c r="F860">
        <v>33978.5</v>
      </c>
      <c r="I860">
        <v>12870</v>
      </c>
      <c r="J860">
        <v>15268</v>
      </c>
      <c r="K860">
        <v>16048.5</v>
      </c>
    </row>
    <row r="861" spans="1:12" x14ac:dyDescent="0.2">
      <c r="A861" t="s">
        <v>24</v>
      </c>
      <c r="B861" t="s">
        <v>114</v>
      </c>
      <c r="C861" t="s">
        <v>197</v>
      </c>
      <c r="D861">
        <v>22020</v>
      </c>
      <c r="E861">
        <v>22020</v>
      </c>
      <c r="I861">
        <v>3688.25</v>
      </c>
      <c r="J861">
        <v>6462.5</v>
      </c>
    </row>
    <row r="862" spans="1:12" x14ac:dyDescent="0.2">
      <c r="A862" t="s">
        <v>24</v>
      </c>
      <c r="B862" t="s">
        <v>114</v>
      </c>
      <c r="C862" t="s">
        <v>198</v>
      </c>
      <c r="D862">
        <v>18542.25</v>
      </c>
      <c r="I862">
        <v>3938.75</v>
      </c>
    </row>
    <row r="863" spans="1:12" x14ac:dyDescent="0.2">
      <c r="A863" t="s">
        <v>24</v>
      </c>
      <c r="B863" t="s">
        <v>111</v>
      </c>
      <c r="C863" t="s">
        <v>195</v>
      </c>
      <c r="D863">
        <v>5593</v>
      </c>
      <c r="E863">
        <v>5593</v>
      </c>
      <c r="F863">
        <v>5593</v>
      </c>
      <c r="G863">
        <v>5593</v>
      </c>
      <c r="I863">
        <v>5193</v>
      </c>
      <c r="J863">
        <v>5193</v>
      </c>
      <c r="K863">
        <v>5193</v>
      </c>
      <c r="L863">
        <v>5193</v>
      </c>
    </row>
    <row r="864" spans="1:12" x14ac:dyDescent="0.2">
      <c r="A864" t="s">
        <v>24</v>
      </c>
      <c r="B864" t="s">
        <v>111</v>
      </c>
      <c r="C864" t="s">
        <v>196</v>
      </c>
      <c r="D864">
        <v>8654</v>
      </c>
      <c r="E864">
        <v>8654</v>
      </c>
      <c r="F864">
        <v>8654</v>
      </c>
      <c r="I864">
        <v>7699</v>
      </c>
      <c r="J864">
        <v>8654</v>
      </c>
      <c r="K864">
        <v>8654</v>
      </c>
    </row>
    <row r="865" spans="1:12" x14ac:dyDescent="0.2">
      <c r="A865" t="s">
        <v>24</v>
      </c>
      <c r="B865" t="s">
        <v>111</v>
      </c>
      <c r="C865" t="s">
        <v>197</v>
      </c>
      <c r="D865">
        <v>8285</v>
      </c>
      <c r="E865">
        <v>8285</v>
      </c>
      <c r="I865">
        <v>7885</v>
      </c>
      <c r="J865">
        <v>7885</v>
      </c>
    </row>
    <row r="866" spans="1:12" x14ac:dyDescent="0.2">
      <c r="A866" t="s">
        <v>24</v>
      </c>
      <c r="B866" t="s">
        <v>111</v>
      </c>
      <c r="C866" t="s">
        <v>198</v>
      </c>
      <c r="D866">
        <v>4110</v>
      </c>
      <c r="I866">
        <v>4110</v>
      </c>
    </row>
    <row r="867" spans="1:12" x14ac:dyDescent="0.2">
      <c r="A867" t="s">
        <v>24</v>
      </c>
      <c r="B867" t="s">
        <v>112</v>
      </c>
      <c r="C867" t="s">
        <v>195</v>
      </c>
      <c r="D867">
        <v>4553</v>
      </c>
      <c r="E867">
        <v>4553</v>
      </c>
      <c r="F867">
        <v>4553</v>
      </c>
      <c r="G867">
        <v>4553</v>
      </c>
      <c r="I867">
        <v>4553</v>
      </c>
      <c r="J867">
        <v>4553</v>
      </c>
      <c r="K867">
        <v>4553</v>
      </c>
      <c r="L867">
        <v>4553</v>
      </c>
    </row>
    <row r="868" spans="1:12" x14ac:dyDescent="0.2">
      <c r="A868" t="s">
        <v>24</v>
      </c>
      <c r="B868" t="s">
        <v>112</v>
      </c>
      <c r="C868" t="s">
        <v>196</v>
      </c>
      <c r="D868">
        <v>3950</v>
      </c>
      <c r="E868">
        <v>3950</v>
      </c>
      <c r="F868">
        <v>3950</v>
      </c>
      <c r="I868">
        <v>3950</v>
      </c>
      <c r="J868">
        <v>3950</v>
      </c>
      <c r="K868">
        <v>3950</v>
      </c>
    </row>
    <row r="869" spans="1:12" x14ac:dyDescent="0.2">
      <c r="A869" t="s">
        <v>24</v>
      </c>
      <c r="B869" t="s">
        <v>112</v>
      </c>
      <c r="C869" t="s">
        <v>197</v>
      </c>
      <c r="D869">
        <v>4305</v>
      </c>
      <c r="E869">
        <v>4305</v>
      </c>
      <c r="I869">
        <v>4305</v>
      </c>
      <c r="J869">
        <v>4305</v>
      </c>
    </row>
    <row r="870" spans="1:12" x14ac:dyDescent="0.2">
      <c r="A870" t="s">
        <v>24</v>
      </c>
      <c r="B870" t="s">
        <v>112</v>
      </c>
      <c r="C870" t="s">
        <v>198</v>
      </c>
      <c r="D870">
        <v>5750</v>
      </c>
      <c r="I870">
        <v>5750</v>
      </c>
    </row>
    <row r="871" spans="1:12" x14ac:dyDescent="0.2">
      <c r="A871" t="s">
        <v>24</v>
      </c>
      <c r="B871" t="s">
        <v>115</v>
      </c>
      <c r="C871" t="s">
        <v>195</v>
      </c>
      <c r="D871">
        <v>207675.75</v>
      </c>
      <c r="E871">
        <v>200876.65</v>
      </c>
      <c r="F871">
        <v>200263.65</v>
      </c>
      <c r="G871">
        <v>199630.65</v>
      </c>
      <c r="I871">
        <v>58251.75</v>
      </c>
      <c r="J871">
        <v>142725.65</v>
      </c>
      <c r="K871">
        <v>174501.65</v>
      </c>
      <c r="L871">
        <v>182392.15</v>
      </c>
    </row>
    <row r="872" spans="1:12" x14ac:dyDescent="0.2">
      <c r="A872" t="s">
        <v>24</v>
      </c>
      <c r="B872" t="s">
        <v>115</v>
      </c>
      <c r="C872" t="s">
        <v>196</v>
      </c>
      <c r="D872">
        <v>164254.04999999999</v>
      </c>
      <c r="E872">
        <v>157509.04999999999</v>
      </c>
      <c r="F872">
        <v>155451.04999999999</v>
      </c>
      <c r="I872">
        <v>62434.55</v>
      </c>
      <c r="J872">
        <v>115129.05</v>
      </c>
      <c r="K872">
        <v>135124.12</v>
      </c>
    </row>
    <row r="873" spans="1:12" x14ac:dyDescent="0.2">
      <c r="A873" t="s">
        <v>24</v>
      </c>
      <c r="B873" t="s">
        <v>115</v>
      </c>
      <c r="C873" t="s">
        <v>197</v>
      </c>
      <c r="D873">
        <v>195800.25</v>
      </c>
      <c r="E873">
        <v>189793.5</v>
      </c>
      <c r="I873">
        <v>68488.75</v>
      </c>
      <c r="J873">
        <v>142928</v>
      </c>
    </row>
    <row r="874" spans="1:12" x14ac:dyDescent="0.2">
      <c r="A874" t="s">
        <v>24</v>
      </c>
      <c r="B874" t="s">
        <v>115</v>
      </c>
      <c r="C874" t="s">
        <v>198</v>
      </c>
      <c r="D874">
        <v>211962.25</v>
      </c>
      <c r="I874">
        <v>83775.25</v>
      </c>
    </row>
    <row r="875" spans="1:12" x14ac:dyDescent="0.2">
      <c r="A875" t="s">
        <v>24</v>
      </c>
      <c r="B875" t="s">
        <v>113</v>
      </c>
      <c r="C875" t="s">
        <v>195</v>
      </c>
      <c r="D875">
        <v>4347</v>
      </c>
      <c r="E875">
        <v>4347</v>
      </c>
      <c r="F875">
        <v>4347</v>
      </c>
      <c r="G875">
        <v>4347</v>
      </c>
      <c r="I875">
        <v>4347</v>
      </c>
      <c r="J875">
        <v>4347</v>
      </c>
      <c r="K875">
        <v>4347</v>
      </c>
      <c r="L875">
        <v>4347</v>
      </c>
    </row>
    <row r="876" spans="1:12" x14ac:dyDescent="0.2">
      <c r="A876" t="s">
        <v>24</v>
      </c>
      <c r="B876" t="s">
        <v>113</v>
      </c>
      <c r="C876" t="s">
        <v>196</v>
      </c>
      <c r="D876">
        <v>2462</v>
      </c>
      <c r="E876">
        <v>3562</v>
      </c>
      <c r="F876">
        <v>3562</v>
      </c>
      <c r="I876">
        <v>2462</v>
      </c>
      <c r="J876">
        <v>3152</v>
      </c>
      <c r="K876">
        <v>3152</v>
      </c>
    </row>
    <row r="877" spans="1:12" x14ac:dyDescent="0.2">
      <c r="A877" t="s">
        <v>24</v>
      </c>
      <c r="B877" t="s">
        <v>113</v>
      </c>
      <c r="C877" t="s">
        <v>197</v>
      </c>
      <c r="D877">
        <v>1450</v>
      </c>
      <c r="E877">
        <v>1450</v>
      </c>
      <c r="I877">
        <v>1450</v>
      </c>
      <c r="J877">
        <v>1450</v>
      </c>
    </row>
    <row r="878" spans="1:12" x14ac:dyDescent="0.2">
      <c r="A878" t="s">
        <v>24</v>
      </c>
      <c r="B878" t="s">
        <v>113</v>
      </c>
      <c r="C878" t="s">
        <v>198</v>
      </c>
      <c r="D878">
        <v>5195</v>
      </c>
      <c r="I878">
        <v>5195</v>
      </c>
    </row>
    <row r="879" spans="1:12" x14ac:dyDescent="0.2">
      <c r="A879" t="s">
        <v>24</v>
      </c>
      <c r="B879" t="s">
        <v>72</v>
      </c>
      <c r="C879" t="s">
        <v>195</v>
      </c>
      <c r="D879">
        <v>2468.5</v>
      </c>
      <c r="E879">
        <v>2468.5</v>
      </c>
      <c r="F879">
        <v>2468.5</v>
      </c>
      <c r="G879">
        <v>2468.5</v>
      </c>
      <c r="I879">
        <v>2026</v>
      </c>
      <c r="J879">
        <v>2418.5</v>
      </c>
      <c r="K879">
        <v>2468.5</v>
      </c>
      <c r="L879">
        <v>2468.5</v>
      </c>
    </row>
    <row r="880" spans="1:12" x14ac:dyDescent="0.2">
      <c r="A880" t="s">
        <v>24</v>
      </c>
      <c r="B880" t="s">
        <v>72</v>
      </c>
      <c r="C880" t="s">
        <v>196</v>
      </c>
      <c r="D880">
        <v>5479.5</v>
      </c>
      <c r="E880">
        <v>5479.5</v>
      </c>
      <c r="F880">
        <v>5479.5</v>
      </c>
      <c r="I880">
        <v>4961.5</v>
      </c>
      <c r="J880">
        <v>5429.5</v>
      </c>
      <c r="K880">
        <v>5429.5</v>
      </c>
    </row>
    <row r="881" spans="1:12" x14ac:dyDescent="0.2">
      <c r="A881" t="s">
        <v>24</v>
      </c>
      <c r="B881" t="s">
        <v>72</v>
      </c>
      <c r="C881" t="s">
        <v>197</v>
      </c>
      <c r="D881">
        <v>2639.5</v>
      </c>
      <c r="E881">
        <v>2639.5</v>
      </c>
      <c r="I881">
        <v>2197</v>
      </c>
      <c r="J881">
        <v>2589.5</v>
      </c>
    </row>
    <row r="882" spans="1:12" x14ac:dyDescent="0.2">
      <c r="A882" t="s">
        <v>24</v>
      </c>
      <c r="B882" t="s">
        <v>72</v>
      </c>
      <c r="C882" t="s">
        <v>198</v>
      </c>
      <c r="D882">
        <v>1667</v>
      </c>
      <c r="I882">
        <v>1667</v>
      </c>
    </row>
    <row r="883" spans="1:12" x14ac:dyDescent="0.2">
      <c r="A883" t="s">
        <v>25</v>
      </c>
      <c r="B883" t="s">
        <v>109</v>
      </c>
      <c r="C883" t="s">
        <v>195</v>
      </c>
      <c r="D883">
        <v>68020.81</v>
      </c>
      <c r="E883">
        <v>68170.81</v>
      </c>
      <c r="F883">
        <v>67818.81</v>
      </c>
      <c r="G883">
        <v>67818.81</v>
      </c>
      <c r="I883">
        <v>3833.15</v>
      </c>
      <c r="J883">
        <v>6274.35</v>
      </c>
      <c r="K883">
        <v>7550.04</v>
      </c>
      <c r="L883">
        <v>9460.31</v>
      </c>
    </row>
    <row r="884" spans="1:12" x14ac:dyDescent="0.2">
      <c r="A884" t="s">
        <v>25</v>
      </c>
      <c r="B884" t="s">
        <v>109</v>
      </c>
      <c r="C884" t="s">
        <v>196</v>
      </c>
      <c r="D884">
        <v>73674.039999999994</v>
      </c>
      <c r="E884">
        <v>73674.039999999994</v>
      </c>
      <c r="F884">
        <v>73174.039999999994</v>
      </c>
      <c r="I884">
        <v>3546.96</v>
      </c>
      <c r="J884">
        <v>4872.6899999999996</v>
      </c>
      <c r="K884">
        <v>6609.04</v>
      </c>
    </row>
    <row r="885" spans="1:12" x14ac:dyDescent="0.2">
      <c r="A885" t="s">
        <v>25</v>
      </c>
      <c r="B885" t="s">
        <v>109</v>
      </c>
      <c r="C885" t="s">
        <v>197</v>
      </c>
      <c r="D885">
        <v>57917.62</v>
      </c>
      <c r="E885">
        <v>55437.08</v>
      </c>
      <c r="I885">
        <v>2984.09</v>
      </c>
      <c r="J885">
        <v>4683.42</v>
      </c>
    </row>
    <row r="886" spans="1:12" x14ac:dyDescent="0.2">
      <c r="A886" t="s">
        <v>25</v>
      </c>
      <c r="B886" t="s">
        <v>109</v>
      </c>
      <c r="C886" t="s">
        <v>198</v>
      </c>
      <c r="D886">
        <v>95098.74</v>
      </c>
      <c r="I886">
        <v>506.1</v>
      </c>
    </row>
    <row r="887" spans="1:12" x14ac:dyDescent="0.2">
      <c r="A887" t="s">
        <v>25</v>
      </c>
      <c r="B887" t="s">
        <v>145</v>
      </c>
      <c r="C887" t="s">
        <v>195</v>
      </c>
      <c r="D887">
        <v>53340</v>
      </c>
      <c r="E887">
        <v>53340</v>
      </c>
      <c r="F887">
        <v>53340</v>
      </c>
      <c r="G887">
        <v>53340</v>
      </c>
      <c r="I887">
        <v>0</v>
      </c>
      <c r="J887">
        <v>0</v>
      </c>
      <c r="K887">
        <v>0</v>
      </c>
      <c r="L887">
        <v>0</v>
      </c>
    </row>
    <row r="888" spans="1:12" x14ac:dyDescent="0.2">
      <c r="A888" t="s">
        <v>25</v>
      </c>
      <c r="B888" t="s">
        <v>145</v>
      </c>
      <c r="C888" t="s">
        <v>196</v>
      </c>
      <c r="D888">
        <v>0</v>
      </c>
      <c r="E888">
        <v>0</v>
      </c>
      <c r="F888">
        <v>0</v>
      </c>
      <c r="I888">
        <v>0</v>
      </c>
      <c r="J888">
        <v>0</v>
      </c>
      <c r="K888">
        <v>0</v>
      </c>
    </row>
    <row r="889" spans="1:12" x14ac:dyDescent="0.2">
      <c r="A889" t="s">
        <v>25</v>
      </c>
      <c r="B889" t="s">
        <v>145</v>
      </c>
      <c r="C889" t="s">
        <v>197</v>
      </c>
      <c r="D889">
        <v>0</v>
      </c>
      <c r="E889">
        <v>0</v>
      </c>
      <c r="I889">
        <v>0</v>
      </c>
      <c r="J889">
        <v>0</v>
      </c>
    </row>
    <row r="890" spans="1:12" x14ac:dyDescent="0.2">
      <c r="A890" t="s">
        <v>25</v>
      </c>
      <c r="B890" t="s">
        <v>145</v>
      </c>
      <c r="C890" t="s">
        <v>198</v>
      </c>
      <c r="D890">
        <v>53643</v>
      </c>
      <c r="I890">
        <v>0</v>
      </c>
    </row>
    <row r="891" spans="1:12" x14ac:dyDescent="0.2">
      <c r="A891" t="s">
        <v>25</v>
      </c>
      <c r="B891" t="s">
        <v>110</v>
      </c>
      <c r="C891" t="s">
        <v>195</v>
      </c>
      <c r="D891">
        <v>21325.78</v>
      </c>
      <c r="E891">
        <v>21325.78</v>
      </c>
      <c r="F891">
        <v>21325.78</v>
      </c>
      <c r="G891">
        <v>21175.78</v>
      </c>
      <c r="I891">
        <v>6189.08</v>
      </c>
      <c r="J891">
        <v>11378.98</v>
      </c>
      <c r="K891">
        <v>14166.78</v>
      </c>
      <c r="L891">
        <v>15376.78</v>
      </c>
    </row>
    <row r="892" spans="1:12" x14ac:dyDescent="0.2">
      <c r="A892" t="s">
        <v>25</v>
      </c>
      <c r="B892" t="s">
        <v>110</v>
      </c>
      <c r="C892" t="s">
        <v>196</v>
      </c>
      <c r="D892">
        <v>22530.01</v>
      </c>
      <c r="E892">
        <v>22505.01</v>
      </c>
      <c r="F892">
        <v>22505.01</v>
      </c>
      <c r="I892">
        <v>5364.01</v>
      </c>
      <c r="J892">
        <v>10507.71</v>
      </c>
      <c r="K892">
        <v>13202.16</v>
      </c>
    </row>
    <row r="893" spans="1:12" x14ac:dyDescent="0.2">
      <c r="A893" t="s">
        <v>25</v>
      </c>
      <c r="B893" t="s">
        <v>110</v>
      </c>
      <c r="C893" t="s">
        <v>197</v>
      </c>
      <c r="D893">
        <v>26061.53</v>
      </c>
      <c r="E893">
        <v>26061.53</v>
      </c>
      <c r="I893">
        <v>9557.23</v>
      </c>
      <c r="J893">
        <v>12854.23</v>
      </c>
    </row>
    <row r="894" spans="1:12" x14ac:dyDescent="0.2">
      <c r="A894" t="s">
        <v>25</v>
      </c>
      <c r="B894" t="s">
        <v>110</v>
      </c>
      <c r="C894" t="s">
        <v>198</v>
      </c>
      <c r="D894">
        <v>20478.5</v>
      </c>
      <c r="I894">
        <v>5615.5</v>
      </c>
    </row>
    <row r="895" spans="1:12" x14ac:dyDescent="0.2">
      <c r="A895" t="s">
        <v>25</v>
      </c>
      <c r="B895" t="s">
        <v>116</v>
      </c>
      <c r="C895" t="s">
        <v>195</v>
      </c>
      <c r="D895">
        <v>613.5</v>
      </c>
      <c r="E895">
        <v>613.5</v>
      </c>
      <c r="F895">
        <v>613.5</v>
      </c>
      <c r="G895">
        <v>613.5</v>
      </c>
      <c r="I895">
        <v>3.5</v>
      </c>
      <c r="J895">
        <v>3.5</v>
      </c>
      <c r="K895">
        <v>3.5</v>
      </c>
      <c r="L895">
        <v>3.5</v>
      </c>
    </row>
    <row r="896" spans="1:12" x14ac:dyDescent="0.2">
      <c r="A896" t="s">
        <v>25</v>
      </c>
      <c r="B896" t="s">
        <v>116</v>
      </c>
      <c r="C896" t="s">
        <v>196</v>
      </c>
      <c r="D896">
        <v>424</v>
      </c>
      <c r="E896">
        <v>424</v>
      </c>
      <c r="F896">
        <v>424</v>
      </c>
      <c r="I896">
        <v>14</v>
      </c>
      <c r="J896">
        <v>14</v>
      </c>
      <c r="K896">
        <v>14</v>
      </c>
    </row>
    <row r="897" spans="1:12" x14ac:dyDescent="0.2">
      <c r="A897" t="s">
        <v>25</v>
      </c>
      <c r="B897" t="s">
        <v>116</v>
      </c>
      <c r="C897" t="s">
        <v>197</v>
      </c>
      <c r="D897">
        <v>70</v>
      </c>
      <c r="E897">
        <v>70</v>
      </c>
      <c r="I897">
        <v>70</v>
      </c>
      <c r="J897">
        <v>70</v>
      </c>
    </row>
    <row r="898" spans="1:12" x14ac:dyDescent="0.2">
      <c r="A898" t="s">
        <v>25</v>
      </c>
      <c r="B898" t="s">
        <v>116</v>
      </c>
      <c r="C898" t="s">
        <v>198</v>
      </c>
      <c r="D898">
        <v>50</v>
      </c>
      <c r="I898">
        <v>0</v>
      </c>
    </row>
    <row r="899" spans="1:12" x14ac:dyDescent="0.2">
      <c r="A899" t="s">
        <v>25</v>
      </c>
      <c r="B899" t="s">
        <v>114</v>
      </c>
      <c r="C899" t="s">
        <v>195</v>
      </c>
      <c r="D899">
        <v>14276</v>
      </c>
      <c r="E899">
        <v>13973</v>
      </c>
      <c r="F899">
        <v>13973</v>
      </c>
      <c r="G899">
        <v>13823</v>
      </c>
      <c r="I899">
        <v>3040</v>
      </c>
      <c r="J899">
        <v>7039.6</v>
      </c>
      <c r="K899">
        <v>9019.9500000000007</v>
      </c>
      <c r="L899">
        <v>9372.9500000000007</v>
      </c>
    </row>
    <row r="900" spans="1:12" x14ac:dyDescent="0.2">
      <c r="A900" t="s">
        <v>25</v>
      </c>
      <c r="B900" t="s">
        <v>114</v>
      </c>
      <c r="C900" t="s">
        <v>196</v>
      </c>
      <c r="D900">
        <v>26047.52</v>
      </c>
      <c r="E900">
        <v>25977.52</v>
      </c>
      <c r="F900">
        <v>25494.52</v>
      </c>
      <c r="I900">
        <v>7205.62</v>
      </c>
      <c r="J900">
        <v>12361.72</v>
      </c>
      <c r="K900">
        <v>14270.52</v>
      </c>
    </row>
    <row r="901" spans="1:12" x14ac:dyDescent="0.2">
      <c r="A901" t="s">
        <v>25</v>
      </c>
      <c r="B901" t="s">
        <v>114</v>
      </c>
      <c r="C901" t="s">
        <v>197</v>
      </c>
      <c r="D901">
        <v>12880.36</v>
      </c>
      <c r="E901">
        <v>12880.36</v>
      </c>
      <c r="I901">
        <v>5995.16</v>
      </c>
      <c r="J901">
        <v>9589.36</v>
      </c>
    </row>
    <row r="902" spans="1:12" x14ac:dyDescent="0.2">
      <c r="A902" t="s">
        <v>25</v>
      </c>
      <c r="B902" t="s">
        <v>114</v>
      </c>
      <c r="C902" t="s">
        <v>198</v>
      </c>
      <c r="D902">
        <v>13942</v>
      </c>
      <c r="I902">
        <v>1945.9</v>
      </c>
    </row>
    <row r="903" spans="1:12" x14ac:dyDescent="0.2">
      <c r="A903" t="s">
        <v>25</v>
      </c>
      <c r="B903" t="s">
        <v>111</v>
      </c>
      <c r="C903" t="s">
        <v>195</v>
      </c>
      <c r="D903">
        <v>13533.1</v>
      </c>
      <c r="E903">
        <v>13533.1</v>
      </c>
      <c r="F903">
        <v>13533.1</v>
      </c>
      <c r="G903">
        <v>13533.1</v>
      </c>
      <c r="I903">
        <v>13533.1</v>
      </c>
      <c r="J903">
        <v>13533.1</v>
      </c>
      <c r="K903">
        <v>13533.1</v>
      </c>
      <c r="L903">
        <v>13533.1</v>
      </c>
    </row>
    <row r="904" spans="1:12" x14ac:dyDescent="0.2">
      <c r="A904" t="s">
        <v>25</v>
      </c>
      <c r="B904" t="s">
        <v>111</v>
      </c>
      <c r="C904" t="s">
        <v>196</v>
      </c>
      <c r="D904">
        <v>18848.150000000001</v>
      </c>
      <c r="E904">
        <v>18848.150000000001</v>
      </c>
      <c r="F904">
        <v>18848.150000000001</v>
      </c>
      <c r="I904">
        <v>18448.150000000001</v>
      </c>
      <c r="J904">
        <v>18448.150000000001</v>
      </c>
      <c r="K904">
        <v>18448.150000000001</v>
      </c>
    </row>
    <row r="905" spans="1:12" x14ac:dyDescent="0.2">
      <c r="A905" t="s">
        <v>25</v>
      </c>
      <c r="B905" t="s">
        <v>111</v>
      </c>
      <c r="C905" t="s">
        <v>197</v>
      </c>
      <c r="D905">
        <v>12919</v>
      </c>
      <c r="E905">
        <v>12919</v>
      </c>
      <c r="I905">
        <v>12519</v>
      </c>
      <c r="J905">
        <v>12519</v>
      </c>
    </row>
    <row r="906" spans="1:12" x14ac:dyDescent="0.2">
      <c r="A906" t="s">
        <v>25</v>
      </c>
      <c r="B906" t="s">
        <v>111</v>
      </c>
      <c r="C906" t="s">
        <v>198</v>
      </c>
      <c r="D906">
        <v>11167.45</v>
      </c>
      <c r="I906">
        <v>10767.45</v>
      </c>
    </row>
    <row r="907" spans="1:12" x14ac:dyDescent="0.2">
      <c r="A907" t="s">
        <v>25</v>
      </c>
      <c r="B907" t="s">
        <v>112</v>
      </c>
      <c r="C907" t="s">
        <v>195</v>
      </c>
      <c r="D907">
        <v>6285</v>
      </c>
      <c r="E907">
        <v>6285</v>
      </c>
      <c r="F907">
        <v>6285</v>
      </c>
      <c r="G907">
        <v>6285</v>
      </c>
      <c r="I907">
        <v>6180</v>
      </c>
      <c r="J907">
        <v>6180</v>
      </c>
      <c r="K907">
        <v>6180</v>
      </c>
      <c r="L907">
        <v>6180</v>
      </c>
    </row>
    <row r="908" spans="1:12" x14ac:dyDescent="0.2">
      <c r="A908" t="s">
        <v>25</v>
      </c>
      <c r="B908" t="s">
        <v>112</v>
      </c>
      <c r="C908" t="s">
        <v>196</v>
      </c>
      <c r="D908">
        <v>9473</v>
      </c>
      <c r="E908">
        <v>9473</v>
      </c>
      <c r="F908">
        <v>9473</v>
      </c>
      <c r="I908">
        <v>9473</v>
      </c>
      <c r="J908">
        <v>9473</v>
      </c>
      <c r="K908">
        <v>9473</v>
      </c>
    </row>
    <row r="909" spans="1:12" x14ac:dyDescent="0.2">
      <c r="A909" t="s">
        <v>25</v>
      </c>
      <c r="B909" t="s">
        <v>112</v>
      </c>
      <c r="C909" t="s">
        <v>197</v>
      </c>
      <c r="D909">
        <v>13917.5</v>
      </c>
      <c r="E909">
        <v>13917.5</v>
      </c>
      <c r="I909">
        <v>13917.5</v>
      </c>
      <c r="J909">
        <v>13917.5</v>
      </c>
    </row>
    <row r="910" spans="1:12" x14ac:dyDescent="0.2">
      <c r="A910" t="s">
        <v>25</v>
      </c>
      <c r="B910" t="s">
        <v>112</v>
      </c>
      <c r="C910" t="s">
        <v>198</v>
      </c>
      <c r="D910">
        <v>10508</v>
      </c>
      <c r="I910">
        <v>10313</v>
      </c>
    </row>
    <row r="911" spans="1:12" x14ac:dyDescent="0.2">
      <c r="A911" t="s">
        <v>25</v>
      </c>
      <c r="B911" t="s">
        <v>115</v>
      </c>
      <c r="C911" t="s">
        <v>195</v>
      </c>
      <c r="D911">
        <v>24900</v>
      </c>
      <c r="E911">
        <v>23575</v>
      </c>
      <c r="F911">
        <v>23575</v>
      </c>
      <c r="G911">
        <v>23369</v>
      </c>
      <c r="I911">
        <v>12548.5</v>
      </c>
      <c r="J911">
        <v>19799.5</v>
      </c>
      <c r="K911">
        <v>20590.82</v>
      </c>
      <c r="L911">
        <v>20747.12</v>
      </c>
    </row>
    <row r="912" spans="1:12" x14ac:dyDescent="0.2">
      <c r="A912" t="s">
        <v>25</v>
      </c>
      <c r="B912" t="s">
        <v>115</v>
      </c>
      <c r="C912" t="s">
        <v>196</v>
      </c>
      <c r="D912">
        <v>37481.25</v>
      </c>
      <c r="E912">
        <v>36680.25</v>
      </c>
      <c r="F912">
        <v>36391.25</v>
      </c>
      <c r="I912">
        <v>16582.75</v>
      </c>
      <c r="J912">
        <v>29917.25</v>
      </c>
      <c r="K912">
        <v>31607.25</v>
      </c>
    </row>
    <row r="913" spans="1:12" x14ac:dyDescent="0.2">
      <c r="A913" t="s">
        <v>25</v>
      </c>
      <c r="B913" t="s">
        <v>115</v>
      </c>
      <c r="C913" t="s">
        <v>197</v>
      </c>
      <c r="D913">
        <v>33030.25</v>
      </c>
      <c r="E913">
        <v>32766.25</v>
      </c>
      <c r="I913">
        <v>18112.25</v>
      </c>
      <c r="J913">
        <v>26049.25</v>
      </c>
    </row>
    <row r="914" spans="1:12" x14ac:dyDescent="0.2">
      <c r="A914" t="s">
        <v>25</v>
      </c>
      <c r="B914" t="s">
        <v>115</v>
      </c>
      <c r="C914" t="s">
        <v>198</v>
      </c>
      <c r="D914">
        <v>21973.9</v>
      </c>
      <c r="I914">
        <v>10937.9</v>
      </c>
    </row>
    <row r="915" spans="1:12" x14ac:dyDescent="0.2">
      <c r="A915" t="s">
        <v>25</v>
      </c>
      <c r="B915" t="s">
        <v>113</v>
      </c>
      <c r="C915" t="s">
        <v>195</v>
      </c>
      <c r="D915">
        <v>5578</v>
      </c>
      <c r="E915">
        <v>5578</v>
      </c>
      <c r="F915">
        <v>5578</v>
      </c>
      <c r="G915">
        <v>5578</v>
      </c>
      <c r="I915">
        <v>5528</v>
      </c>
      <c r="J915">
        <v>5528</v>
      </c>
      <c r="K915">
        <v>5528</v>
      </c>
      <c r="L915">
        <v>5528</v>
      </c>
    </row>
    <row r="916" spans="1:12" x14ac:dyDescent="0.2">
      <c r="A916" t="s">
        <v>25</v>
      </c>
      <c r="B916" t="s">
        <v>113</v>
      </c>
      <c r="C916" t="s">
        <v>196</v>
      </c>
      <c r="D916">
        <v>4419</v>
      </c>
      <c r="E916">
        <v>4419</v>
      </c>
      <c r="F916">
        <v>4419</v>
      </c>
      <c r="I916">
        <v>4419</v>
      </c>
      <c r="J916">
        <v>4419</v>
      </c>
      <c r="K916">
        <v>4419</v>
      </c>
    </row>
    <row r="917" spans="1:12" x14ac:dyDescent="0.2">
      <c r="A917" t="s">
        <v>25</v>
      </c>
      <c r="B917" t="s">
        <v>113</v>
      </c>
      <c r="C917" t="s">
        <v>197</v>
      </c>
      <c r="D917">
        <v>7881</v>
      </c>
      <c r="E917">
        <v>7881</v>
      </c>
      <c r="I917">
        <v>7881</v>
      </c>
      <c r="J917">
        <v>7881</v>
      </c>
    </row>
    <row r="918" spans="1:12" x14ac:dyDescent="0.2">
      <c r="A918" t="s">
        <v>25</v>
      </c>
      <c r="B918" t="s">
        <v>113</v>
      </c>
      <c r="C918" t="s">
        <v>198</v>
      </c>
      <c r="D918">
        <v>9309</v>
      </c>
      <c r="I918">
        <v>8909</v>
      </c>
    </row>
    <row r="919" spans="1:12" x14ac:dyDescent="0.2">
      <c r="A919" t="s">
        <v>25</v>
      </c>
      <c r="B919" t="s">
        <v>72</v>
      </c>
      <c r="C919" t="s">
        <v>195</v>
      </c>
      <c r="D919">
        <v>8634</v>
      </c>
      <c r="E919">
        <v>8334</v>
      </c>
      <c r="F919">
        <v>8334</v>
      </c>
      <c r="G919">
        <v>8334</v>
      </c>
      <c r="I919">
        <v>7426</v>
      </c>
      <c r="J919">
        <v>7426</v>
      </c>
      <c r="K919">
        <v>7426</v>
      </c>
      <c r="L919">
        <v>7426</v>
      </c>
    </row>
    <row r="920" spans="1:12" x14ac:dyDescent="0.2">
      <c r="A920" t="s">
        <v>25</v>
      </c>
      <c r="B920" t="s">
        <v>72</v>
      </c>
      <c r="C920" t="s">
        <v>196</v>
      </c>
      <c r="D920">
        <v>8883</v>
      </c>
      <c r="E920">
        <v>7383</v>
      </c>
      <c r="F920">
        <v>7383</v>
      </c>
      <c r="I920">
        <v>6675</v>
      </c>
      <c r="J920">
        <v>6675</v>
      </c>
      <c r="K920">
        <v>6675</v>
      </c>
    </row>
    <row r="921" spans="1:12" x14ac:dyDescent="0.2">
      <c r="A921" t="s">
        <v>25</v>
      </c>
      <c r="B921" t="s">
        <v>72</v>
      </c>
      <c r="C921" t="s">
        <v>197</v>
      </c>
      <c r="D921">
        <v>7215.95</v>
      </c>
      <c r="E921">
        <v>7215.95</v>
      </c>
      <c r="I921">
        <v>7215.95</v>
      </c>
      <c r="J921">
        <v>7215.95</v>
      </c>
    </row>
    <row r="922" spans="1:12" x14ac:dyDescent="0.2">
      <c r="A922" t="s">
        <v>25</v>
      </c>
      <c r="B922" t="s">
        <v>72</v>
      </c>
      <c r="C922" t="s">
        <v>198</v>
      </c>
      <c r="D922">
        <v>5328.85</v>
      </c>
      <c r="I922">
        <v>4352.8500000000004</v>
      </c>
    </row>
    <row r="923" spans="1:12" x14ac:dyDescent="0.2">
      <c r="A923" t="s">
        <v>26</v>
      </c>
      <c r="B923" t="s">
        <v>109</v>
      </c>
      <c r="C923" t="s">
        <v>195</v>
      </c>
      <c r="D923">
        <v>72004.5</v>
      </c>
      <c r="E923">
        <v>72004.5</v>
      </c>
      <c r="F923">
        <v>72004.5</v>
      </c>
      <c r="G923">
        <v>72004.5</v>
      </c>
      <c r="I923">
        <v>3061.59</v>
      </c>
      <c r="J923">
        <v>3982.91</v>
      </c>
      <c r="K923">
        <v>5507.02</v>
      </c>
      <c r="L923">
        <v>7013.05</v>
      </c>
    </row>
    <row r="924" spans="1:12" x14ac:dyDescent="0.2">
      <c r="A924" t="s">
        <v>26</v>
      </c>
      <c r="B924" t="s">
        <v>109</v>
      </c>
      <c r="C924" t="s">
        <v>196</v>
      </c>
      <c r="D924">
        <v>107754.71</v>
      </c>
      <c r="E924">
        <v>107754.71</v>
      </c>
      <c r="F924">
        <v>107754.71</v>
      </c>
      <c r="I924">
        <v>10683.16</v>
      </c>
      <c r="J924">
        <v>12498.17</v>
      </c>
      <c r="K924">
        <v>17023.75</v>
      </c>
    </row>
    <row r="925" spans="1:12" x14ac:dyDescent="0.2">
      <c r="A925" t="s">
        <v>26</v>
      </c>
      <c r="B925" t="s">
        <v>109</v>
      </c>
      <c r="C925" t="s">
        <v>197</v>
      </c>
      <c r="D925">
        <v>73429.5</v>
      </c>
      <c r="E925">
        <v>73429.5</v>
      </c>
      <c r="I925">
        <v>1619.57</v>
      </c>
      <c r="J925">
        <v>3734.23</v>
      </c>
    </row>
    <row r="926" spans="1:12" x14ac:dyDescent="0.2">
      <c r="A926" t="s">
        <v>26</v>
      </c>
      <c r="B926" t="s">
        <v>109</v>
      </c>
      <c r="C926" t="s">
        <v>198</v>
      </c>
      <c r="D926">
        <v>105757.38</v>
      </c>
      <c r="I926">
        <v>3074.57</v>
      </c>
    </row>
    <row r="927" spans="1:12" x14ac:dyDescent="0.2">
      <c r="A927" t="s">
        <v>26</v>
      </c>
      <c r="B927" t="s">
        <v>145</v>
      </c>
      <c r="C927" t="s">
        <v>195</v>
      </c>
      <c r="D927">
        <v>0</v>
      </c>
      <c r="E927">
        <v>0</v>
      </c>
      <c r="F927">
        <v>0</v>
      </c>
      <c r="G927">
        <v>0</v>
      </c>
      <c r="I927">
        <v>0</v>
      </c>
      <c r="J927">
        <v>0</v>
      </c>
      <c r="K927">
        <v>0</v>
      </c>
      <c r="L927">
        <v>0</v>
      </c>
    </row>
    <row r="928" spans="1:12" x14ac:dyDescent="0.2">
      <c r="A928" t="s">
        <v>26</v>
      </c>
      <c r="B928" t="s">
        <v>145</v>
      </c>
      <c r="C928" t="s">
        <v>196</v>
      </c>
      <c r="D928">
        <v>0</v>
      </c>
      <c r="E928">
        <v>0</v>
      </c>
      <c r="F928">
        <v>0</v>
      </c>
      <c r="I928">
        <v>0</v>
      </c>
      <c r="J928">
        <v>0</v>
      </c>
      <c r="K928">
        <v>0</v>
      </c>
    </row>
    <row r="929" spans="1:12" x14ac:dyDescent="0.2">
      <c r="A929" t="s">
        <v>26</v>
      </c>
      <c r="B929" t="s">
        <v>145</v>
      </c>
      <c r="C929" t="s">
        <v>197</v>
      </c>
      <c r="D929">
        <v>0</v>
      </c>
      <c r="E929">
        <v>0</v>
      </c>
      <c r="I929">
        <v>0</v>
      </c>
      <c r="J929">
        <v>0</v>
      </c>
    </row>
    <row r="930" spans="1:12" x14ac:dyDescent="0.2">
      <c r="A930" t="s">
        <v>26</v>
      </c>
      <c r="B930" t="s">
        <v>145</v>
      </c>
      <c r="C930" t="s">
        <v>198</v>
      </c>
      <c r="D930">
        <v>0</v>
      </c>
      <c r="I930">
        <v>0</v>
      </c>
    </row>
    <row r="931" spans="1:12" x14ac:dyDescent="0.2">
      <c r="A931" t="s">
        <v>26</v>
      </c>
      <c r="B931" t="s">
        <v>110</v>
      </c>
      <c r="C931" t="s">
        <v>195</v>
      </c>
      <c r="D931">
        <v>19218</v>
      </c>
      <c r="E931">
        <v>19218</v>
      </c>
      <c r="F931">
        <v>19218</v>
      </c>
      <c r="G931">
        <v>19218</v>
      </c>
      <c r="I931">
        <v>8963</v>
      </c>
      <c r="J931">
        <v>11762</v>
      </c>
      <c r="K931">
        <v>12478</v>
      </c>
      <c r="L931">
        <v>12478</v>
      </c>
    </row>
    <row r="932" spans="1:12" x14ac:dyDescent="0.2">
      <c r="A932" t="s">
        <v>26</v>
      </c>
      <c r="B932" t="s">
        <v>110</v>
      </c>
      <c r="C932" t="s">
        <v>196</v>
      </c>
      <c r="D932">
        <v>23033.5</v>
      </c>
      <c r="E932">
        <v>23033.5</v>
      </c>
      <c r="F932">
        <v>23033.5</v>
      </c>
      <c r="I932">
        <v>11311.5</v>
      </c>
      <c r="J932">
        <v>14442.5</v>
      </c>
      <c r="K932">
        <v>14442.5</v>
      </c>
    </row>
    <row r="933" spans="1:12" x14ac:dyDescent="0.2">
      <c r="A933" t="s">
        <v>26</v>
      </c>
      <c r="B933" t="s">
        <v>110</v>
      </c>
      <c r="C933" t="s">
        <v>197</v>
      </c>
      <c r="D933">
        <v>20749</v>
      </c>
      <c r="E933">
        <v>20749</v>
      </c>
      <c r="I933">
        <v>7731.5</v>
      </c>
      <c r="J933">
        <v>9532.5</v>
      </c>
    </row>
    <row r="934" spans="1:12" x14ac:dyDescent="0.2">
      <c r="A934" t="s">
        <v>26</v>
      </c>
      <c r="B934" t="s">
        <v>110</v>
      </c>
      <c r="C934" t="s">
        <v>198</v>
      </c>
      <c r="D934">
        <v>23431</v>
      </c>
      <c r="I934">
        <v>10074</v>
      </c>
    </row>
    <row r="935" spans="1:12" x14ac:dyDescent="0.2">
      <c r="A935" t="s">
        <v>26</v>
      </c>
      <c r="B935" t="s">
        <v>116</v>
      </c>
      <c r="C935" t="s">
        <v>195</v>
      </c>
      <c r="D935">
        <v>0</v>
      </c>
      <c r="E935">
        <v>0</v>
      </c>
      <c r="F935">
        <v>0</v>
      </c>
      <c r="G935">
        <v>0</v>
      </c>
      <c r="I935">
        <v>0</v>
      </c>
      <c r="J935">
        <v>0</v>
      </c>
      <c r="K935">
        <v>0</v>
      </c>
      <c r="L935">
        <v>0</v>
      </c>
    </row>
    <row r="936" spans="1:12" x14ac:dyDescent="0.2">
      <c r="A936" t="s">
        <v>26</v>
      </c>
      <c r="B936" t="s">
        <v>116</v>
      </c>
      <c r="C936" t="s">
        <v>196</v>
      </c>
      <c r="D936">
        <v>0</v>
      </c>
      <c r="E936">
        <v>0</v>
      </c>
      <c r="F936">
        <v>0</v>
      </c>
      <c r="I936">
        <v>0</v>
      </c>
      <c r="J936">
        <v>0</v>
      </c>
      <c r="K936">
        <v>0</v>
      </c>
    </row>
    <row r="937" spans="1:12" x14ac:dyDescent="0.2">
      <c r="A937" t="s">
        <v>26</v>
      </c>
      <c r="B937" t="s">
        <v>116</v>
      </c>
      <c r="C937" t="s">
        <v>197</v>
      </c>
      <c r="D937">
        <v>0</v>
      </c>
      <c r="E937">
        <v>0</v>
      </c>
      <c r="I937">
        <v>0</v>
      </c>
      <c r="J937">
        <v>0</v>
      </c>
    </row>
    <row r="938" spans="1:12" x14ac:dyDescent="0.2">
      <c r="A938" t="s">
        <v>26</v>
      </c>
      <c r="B938" t="s">
        <v>116</v>
      </c>
      <c r="C938" t="s">
        <v>198</v>
      </c>
      <c r="D938">
        <v>0</v>
      </c>
      <c r="I938">
        <v>0</v>
      </c>
    </row>
    <row r="939" spans="1:12" x14ac:dyDescent="0.2">
      <c r="A939" t="s">
        <v>26</v>
      </c>
      <c r="B939" t="s">
        <v>114</v>
      </c>
      <c r="C939" t="s">
        <v>195</v>
      </c>
      <c r="D939">
        <v>34169</v>
      </c>
      <c r="E939">
        <v>34169</v>
      </c>
      <c r="F939">
        <v>34169</v>
      </c>
      <c r="G939">
        <v>34169</v>
      </c>
      <c r="I939">
        <v>14080</v>
      </c>
      <c r="J939">
        <v>21892</v>
      </c>
      <c r="K939">
        <v>24140</v>
      </c>
      <c r="L939">
        <v>24170</v>
      </c>
    </row>
    <row r="940" spans="1:12" x14ac:dyDescent="0.2">
      <c r="A940" t="s">
        <v>26</v>
      </c>
      <c r="B940" t="s">
        <v>114</v>
      </c>
      <c r="C940" t="s">
        <v>196</v>
      </c>
      <c r="D940">
        <v>51485.5</v>
      </c>
      <c r="E940">
        <v>51485.5</v>
      </c>
      <c r="F940">
        <v>51485.5</v>
      </c>
      <c r="I940">
        <v>33700.400000000001</v>
      </c>
      <c r="J940">
        <v>37039.9</v>
      </c>
      <c r="K940">
        <v>41667</v>
      </c>
    </row>
    <row r="941" spans="1:12" x14ac:dyDescent="0.2">
      <c r="A941" t="s">
        <v>26</v>
      </c>
      <c r="B941" t="s">
        <v>114</v>
      </c>
      <c r="C941" t="s">
        <v>197</v>
      </c>
      <c r="D941">
        <v>35435</v>
      </c>
      <c r="E941">
        <v>35435</v>
      </c>
      <c r="I941">
        <v>14767.6</v>
      </c>
      <c r="J941">
        <v>17930.599999999999</v>
      </c>
    </row>
    <row r="942" spans="1:12" x14ac:dyDescent="0.2">
      <c r="A942" t="s">
        <v>26</v>
      </c>
      <c r="B942" t="s">
        <v>114</v>
      </c>
      <c r="C942" t="s">
        <v>198</v>
      </c>
      <c r="D942">
        <v>30840</v>
      </c>
      <c r="I942">
        <v>19208</v>
      </c>
    </row>
    <row r="943" spans="1:12" x14ac:dyDescent="0.2">
      <c r="A943" t="s">
        <v>26</v>
      </c>
      <c r="B943" t="s">
        <v>111</v>
      </c>
      <c r="C943" t="s">
        <v>195</v>
      </c>
      <c r="D943">
        <v>7355</v>
      </c>
      <c r="E943">
        <v>7355</v>
      </c>
      <c r="F943">
        <v>7355</v>
      </c>
      <c r="G943">
        <v>7355</v>
      </c>
      <c r="I943">
        <v>7305</v>
      </c>
      <c r="J943">
        <v>7355</v>
      </c>
      <c r="K943">
        <v>7355</v>
      </c>
      <c r="L943">
        <v>7355</v>
      </c>
    </row>
    <row r="944" spans="1:12" x14ac:dyDescent="0.2">
      <c r="A944" t="s">
        <v>26</v>
      </c>
      <c r="B944" t="s">
        <v>111</v>
      </c>
      <c r="C944" t="s">
        <v>196</v>
      </c>
      <c r="D944">
        <v>8979.5</v>
      </c>
      <c r="E944">
        <v>8979.5</v>
      </c>
      <c r="F944">
        <v>8979.5</v>
      </c>
      <c r="I944">
        <v>8579.5</v>
      </c>
      <c r="J944">
        <v>8979.5</v>
      </c>
      <c r="K944">
        <v>8979.5</v>
      </c>
    </row>
    <row r="945" spans="1:12" x14ac:dyDescent="0.2">
      <c r="A945" t="s">
        <v>26</v>
      </c>
      <c r="B945" t="s">
        <v>111</v>
      </c>
      <c r="C945" t="s">
        <v>197</v>
      </c>
      <c r="D945">
        <v>10897.5</v>
      </c>
      <c r="E945">
        <v>10897.5</v>
      </c>
      <c r="I945">
        <v>10497.5</v>
      </c>
      <c r="J945">
        <v>10497.5</v>
      </c>
    </row>
    <row r="946" spans="1:12" x14ac:dyDescent="0.2">
      <c r="A946" t="s">
        <v>26</v>
      </c>
      <c r="B946" t="s">
        <v>111</v>
      </c>
      <c r="C946" t="s">
        <v>198</v>
      </c>
      <c r="D946">
        <v>10495</v>
      </c>
      <c r="I946">
        <v>10425</v>
      </c>
    </row>
    <row r="947" spans="1:12" x14ac:dyDescent="0.2">
      <c r="A947" t="s">
        <v>26</v>
      </c>
      <c r="B947" t="s">
        <v>112</v>
      </c>
      <c r="C947" t="s">
        <v>195</v>
      </c>
      <c r="D947">
        <v>12150</v>
      </c>
      <c r="E947">
        <v>12150</v>
      </c>
      <c r="F947">
        <v>12065</v>
      </c>
      <c r="G947">
        <v>12065</v>
      </c>
      <c r="I947">
        <v>10950</v>
      </c>
      <c r="J947">
        <v>12065</v>
      </c>
      <c r="K947">
        <v>12065</v>
      </c>
      <c r="L947">
        <v>12065</v>
      </c>
    </row>
    <row r="948" spans="1:12" x14ac:dyDescent="0.2">
      <c r="A948" t="s">
        <v>26</v>
      </c>
      <c r="B948" t="s">
        <v>112</v>
      </c>
      <c r="C948" t="s">
        <v>196</v>
      </c>
      <c r="D948">
        <v>12860</v>
      </c>
      <c r="E948">
        <v>12860</v>
      </c>
      <c r="F948">
        <v>12860</v>
      </c>
      <c r="I948">
        <v>12055</v>
      </c>
      <c r="J948">
        <v>12675</v>
      </c>
      <c r="K948">
        <v>12675</v>
      </c>
    </row>
    <row r="949" spans="1:12" x14ac:dyDescent="0.2">
      <c r="A949" t="s">
        <v>26</v>
      </c>
      <c r="B949" t="s">
        <v>112</v>
      </c>
      <c r="C949" t="s">
        <v>197</v>
      </c>
      <c r="D949">
        <v>13031</v>
      </c>
      <c r="E949">
        <v>13031</v>
      </c>
      <c r="I949">
        <v>10791</v>
      </c>
      <c r="J949">
        <v>12341</v>
      </c>
    </row>
    <row r="950" spans="1:12" x14ac:dyDescent="0.2">
      <c r="A950" t="s">
        <v>26</v>
      </c>
      <c r="B950" t="s">
        <v>112</v>
      </c>
      <c r="C950" t="s">
        <v>198</v>
      </c>
      <c r="D950">
        <v>11225</v>
      </c>
      <c r="I950">
        <v>11205</v>
      </c>
    </row>
    <row r="951" spans="1:12" x14ac:dyDescent="0.2">
      <c r="A951" t="s">
        <v>26</v>
      </c>
      <c r="B951" t="s">
        <v>115</v>
      </c>
      <c r="C951" t="s">
        <v>195</v>
      </c>
      <c r="D951">
        <v>196772.5</v>
      </c>
      <c r="E951">
        <v>196772.5</v>
      </c>
      <c r="F951">
        <v>181488.5</v>
      </c>
      <c r="G951">
        <v>181488.5</v>
      </c>
      <c r="I951">
        <v>80450.5</v>
      </c>
      <c r="J951">
        <v>143479.5</v>
      </c>
      <c r="K951">
        <v>152475.29999999999</v>
      </c>
      <c r="L951">
        <v>156103.42000000001</v>
      </c>
    </row>
    <row r="952" spans="1:12" x14ac:dyDescent="0.2">
      <c r="A952" t="s">
        <v>26</v>
      </c>
      <c r="B952" t="s">
        <v>115</v>
      </c>
      <c r="C952" t="s">
        <v>196</v>
      </c>
      <c r="D952">
        <v>130111.5</v>
      </c>
      <c r="E952">
        <v>126209.5</v>
      </c>
      <c r="F952">
        <v>126026.5</v>
      </c>
      <c r="I952">
        <v>62370.5</v>
      </c>
      <c r="J952">
        <v>98857.5</v>
      </c>
      <c r="K952">
        <v>104212.5</v>
      </c>
    </row>
    <row r="953" spans="1:12" x14ac:dyDescent="0.2">
      <c r="A953" t="s">
        <v>26</v>
      </c>
      <c r="B953" t="s">
        <v>115</v>
      </c>
      <c r="C953" t="s">
        <v>197</v>
      </c>
      <c r="D953">
        <v>168836.75</v>
      </c>
      <c r="E953">
        <v>168836.75</v>
      </c>
      <c r="I953">
        <v>64634.75</v>
      </c>
      <c r="J953">
        <v>118350.75</v>
      </c>
    </row>
    <row r="954" spans="1:12" x14ac:dyDescent="0.2">
      <c r="A954" t="s">
        <v>26</v>
      </c>
      <c r="B954" t="s">
        <v>115</v>
      </c>
      <c r="C954" t="s">
        <v>198</v>
      </c>
      <c r="D954">
        <v>171843</v>
      </c>
      <c r="I954">
        <v>87744</v>
      </c>
    </row>
    <row r="955" spans="1:12" x14ac:dyDescent="0.2">
      <c r="A955" t="s">
        <v>26</v>
      </c>
      <c r="B955" t="s">
        <v>113</v>
      </c>
      <c r="C955" t="s">
        <v>195</v>
      </c>
      <c r="D955">
        <v>2852.5</v>
      </c>
      <c r="E955">
        <v>2852.5</v>
      </c>
      <c r="F955">
        <v>2852.5</v>
      </c>
      <c r="G955">
        <v>2852.5</v>
      </c>
      <c r="I955">
        <v>2852.5</v>
      </c>
      <c r="J955">
        <v>2852.5</v>
      </c>
      <c r="K955">
        <v>2852.5</v>
      </c>
      <c r="L955">
        <v>2852.5</v>
      </c>
    </row>
    <row r="956" spans="1:12" x14ac:dyDescent="0.2">
      <c r="A956" t="s">
        <v>26</v>
      </c>
      <c r="B956" t="s">
        <v>113</v>
      </c>
      <c r="C956" t="s">
        <v>196</v>
      </c>
      <c r="D956">
        <v>2328</v>
      </c>
      <c r="E956">
        <v>1983</v>
      </c>
      <c r="F956">
        <v>1983</v>
      </c>
      <c r="I956">
        <v>1983</v>
      </c>
      <c r="J956">
        <v>1983</v>
      </c>
      <c r="K956">
        <v>1983</v>
      </c>
    </row>
    <row r="957" spans="1:12" x14ac:dyDescent="0.2">
      <c r="A957" t="s">
        <v>26</v>
      </c>
      <c r="B957" t="s">
        <v>113</v>
      </c>
      <c r="C957" t="s">
        <v>197</v>
      </c>
      <c r="D957">
        <v>4121.68</v>
      </c>
      <c r="E957">
        <v>4121.68</v>
      </c>
      <c r="I957">
        <v>4121.68</v>
      </c>
      <c r="J957">
        <v>4121.68</v>
      </c>
    </row>
    <row r="958" spans="1:12" x14ac:dyDescent="0.2">
      <c r="A958" t="s">
        <v>26</v>
      </c>
      <c r="B958" t="s">
        <v>113</v>
      </c>
      <c r="C958" t="s">
        <v>198</v>
      </c>
      <c r="D958">
        <v>4814.12</v>
      </c>
      <c r="I958">
        <v>4814.12</v>
      </c>
    </row>
    <row r="959" spans="1:12" x14ac:dyDescent="0.2">
      <c r="A959" t="s">
        <v>26</v>
      </c>
      <c r="B959" t="s">
        <v>72</v>
      </c>
      <c r="C959" t="s">
        <v>195</v>
      </c>
      <c r="D959">
        <v>5912</v>
      </c>
      <c r="E959">
        <v>5912</v>
      </c>
      <c r="F959">
        <v>5912</v>
      </c>
      <c r="G959">
        <v>5912</v>
      </c>
      <c r="I959">
        <v>5504</v>
      </c>
      <c r="J959">
        <v>5504</v>
      </c>
      <c r="K959">
        <v>5504</v>
      </c>
      <c r="L959">
        <v>5504</v>
      </c>
    </row>
    <row r="960" spans="1:12" x14ac:dyDescent="0.2">
      <c r="A960" t="s">
        <v>26</v>
      </c>
      <c r="B960" t="s">
        <v>72</v>
      </c>
      <c r="C960" t="s">
        <v>196</v>
      </c>
      <c r="D960">
        <v>4914</v>
      </c>
      <c r="E960">
        <v>4914</v>
      </c>
      <c r="F960">
        <v>4914</v>
      </c>
      <c r="I960">
        <v>4486</v>
      </c>
      <c r="J960">
        <v>4496</v>
      </c>
      <c r="K960">
        <v>4496</v>
      </c>
    </row>
    <row r="961" spans="1:12" x14ac:dyDescent="0.2">
      <c r="A961" t="s">
        <v>26</v>
      </c>
      <c r="B961" t="s">
        <v>72</v>
      </c>
      <c r="C961" t="s">
        <v>197</v>
      </c>
      <c r="D961">
        <v>7636</v>
      </c>
      <c r="E961">
        <v>7636</v>
      </c>
      <c r="I961">
        <v>7218</v>
      </c>
      <c r="J961">
        <v>7636</v>
      </c>
    </row>
    <row r="962" spans="1:12" x14ac:dyDescent="0.2">
      <c r="A962" t="s">
        <v>26</v>
      </c>
      <c r="B962" t="s">
        <v>72</v>
      </c>
      <c r="C962" t="s">
        <v>198</v>
      </c>
      <c r="D962">
        <v>4878</v>
      </c>
      <c r="I962">
        <v>4818</v>
      </c>
    </row>
    <row r="963" spans="1:12" x14ac:dyDescent="0.2">
      <c r="A963" t="s">
        <v>27</v>
      </c>
      <c r="B963" t="s">
        <v>109</v>
      </c>
      <c r="C963" t="s">
        <v>195</v>
      </c>
      <c r="D963">
        <v>82211</v>
      </c>
      <c r="E963">
        <v>82211</v>
      </c>
      <c r="F963">
        <v>82211</v>
      </c>
      <c r="G963">
        <v>82211</v>
      </c>
      <c r="I963">
        <v>1555.99</v>
      </c>
      <c r="J963">
        <v>3530.71</v>
      </c>
      <c r="K963">
        <v>5234.62</v>
      </c>
      <c r="L963">
        <v>6850.95</v>
      </c>
    </row>
    <row r="964" spans="1:12" x14ac:dyDescent="0.2">
      <c r="A964" t="s">
        <v>27</v>
      </c>
      <c r="B964" t="s">
        <v>109</v>
      </c>
      <c r="C964" t="s">
        <v>196</v>
      </c>
      <c r="D964">
        <v>254493.33</v>
      </c>
      <c r="E964">
        <v>254443.33</v>
      </c>
      <c r="F964">
        <v>254443.33</v>
      </c>
      <c r="I964">
        <v>1344.22</v>
      </c>
      <c r="J964">
        <v>6881.85</v>
      </c>
      <c r="K964">
        <v>8799.86</v>
      </c>
    </row>
    <row r="965" spans="1:12" x14ac:dyDescent="0.2">
      <c r="A965" t="s">
        <v>27</v>
      </c>
      <c r="B965" t="s">
        <v>109</v>
      </c>
      <c r="C965" t="s">
        <v>197</v>
      </c>
      <c r="D965">
        <v>171713.67</v>
      </c>
      <c r="E965">
        <v>171713.67</v>
      </c>
      <c r="I965">
        <v>1134.5</v>
      </c>
      <c r="J965">
        <v>4064.67</v>
      </c>
    </row>
    <row r="966" spans="1:12" x14ac:dyDescent="0.2">
      <c r="A966" t="s">
        <v>27</v>
      </c>
      <c r="B966" t="s">
        <v>109</v>
      </c>
      <c r="C966" t="s">
        <v>198</v>
      </c>
      <c r="D966">
        <v>112637.44</v>
      </c>
      <c r="I966">
        <v>749.37</v>
      </c>
    </row>
    <row r="967" spans="1:12" x14ac:dyDescent="0.2">
      <c r="A967" t="s">
        <v>27</v>
      </c>
      <c r="B967" t="s">
        <v>145</v>
      </c>
      <c r="C967" t="s">
        <v>195</v>
      </c>
      <c r="D967">
        <v>0</v>
      </c>
      <c r="E967">
        <v>50</v>
      </c>
      <c r="F967">
        <v>50</v>
      </c>
      <c r="G967">
        <v>50</v>
      </c>
      <c r="I967">
        <v>0</v>
      </c>
      <c r="J967">
        <v>0</v>
      </c>
      <c r="K967">
        <v>0</v>
      </c>
      <c r="L967">
        <v>0</v>
      </c>
    </row>
    <row r="968" spans="1:12" x14ac:dyDescent="0.2">
      <c r="A968" t="s">
        <v>27</v>
      </c>
      <c r="B968" t="s">
        <v>145</v>
      </c>
      <c r="C968" t="s">
        <v>196</v>
      </c>
      <c r="D968">
        <v>159030</v>
      </c>
      <c r="E968">
        <v>159030</v>
      </c>
      <c r="F968">
        <v>159030</v>
      </c>
      <c r="I968">
        <v>0</v>
      </c>
      <c r="J968">
        <v>0</v>
      </c>
      <c r="K968">
        <v>0</v>
      </c>
    </row>
    <row r="969" spans="1:12" x14ac:dyDescent="0.2">
      <c r="A969" t="s">
        <v>27</v>
      </c>
      <c r="B969" t="s">
        <v>145</v>
      </c>
      <c r="C969" t="s">
        <v>197</v>
      </c>
      <c r="D969">
        <v>53365</v>
      </c>
      <c r="E969">
        <v>53365</v>
      </c>
      <c r="I969">
        <v>0</v>
      </c>
      <c r="J969">
        <v>0</v>
      </c>
    </row>
    <row r="970" spans="1:12" x14ac:dyDescent="0.2">
      <c r="A970" t="s">
        <v>27</v>
      </c>
      <c r="B970" t="s">
        <v>145</v>
      </c>
      <c r="C970" t="s">
        <v>198</v>
      </c>
      <c r="D970">
        <v>53415</v>
      </c>
      <c r="I970">
        <v>0</v>
      </c>
    </row>
    <row r="971" spans="1:12" x14ac:dyDescent="0.2">
      <c r="A971" t="s">
        <v>27</v>
      </c>
      <c r="B971" t="s">
        <v>110</v>
      </c>
      <c r="C971" t="s">
        <v>195</v>
      </c>
      <c r="D971">
        <v>21815.37</v>
      </c>
      <c r="E971">
        <v>22090.37</v>
      </c>
      <c r="F971">
        <v>22115.37</v>
      </c>
      <c r="G971">
        <v>22115.37</v>
      </c>
      <c r="I971">
        <v>3624</v>
      </c>
      <c r="J971">
        <v>6859</v>
      </c>
      <c r="K971">
        <v>7754</v>
      </c>
      <c r="L971">
        <v>8754</v>
      </c>
    </row>
    <row r="972" spans="1:12" x14ac:dyDescent="0.2">
      <c r="A972" t="s">
        <v>27</v>
      </c>
      <c r="B972" t="s">
        <v>110</v>
      </c>
      <c r="C972" t="s">
        <v>196</v>
      </c>
      <c r="D972">
        <v>35514</v>
      </c>
      <c r="E972">
        <v>35614</v>
      </c>
      <c r="F972">
        <v>35614</v>
      </c>
      <c r="I972">
        <v>6121.9</v>
      </c>
      <c r="J972">
        <v>11328.9</v>
      </c>
      <c r="K972">
        <v>14323.9</v>
      </c>
    </row>
    <row r="973" spans="1:12" x14ac:dyDescent="0.2">
      <c r="A973" t="s">
        <v>27</v>
      </c>
      <c r="B973" t="s">
        <v>110</v>
      </c>
      <c r="C973" t="s">
        <v>197</v>
      </c>
      <c r="D973">
        <v>38048.97</v>
      </c>
      <c r="E973">
        <v>37868.97</v>
      </c>
      <c r="I973">
        <v>7929.72</v>
      </c>
      <c r="J973">
        <v>13996.72</v>
      </c>
    </row>
    <row r="974" spans="1:12" x14ac:dyDescent="0.2">
      <c r="A974" t="s">
        <v>27</v>
      </c>
      <c r="B974" t="s">
        <v>110</v>
      </c>
      <c r="C974" t="s">
        <v>198</v>
      </c>
      <c r="D974">
        <v>25183</v>
      </c>
      <c r="I974">
        <v>8117</v>
      </c>
    </row>
    <row r="975" spans="1:12" x14ac:dyDescent="0.2">
      <c r="A975" t="s">
        <v>27</v>
      </c>
      <c r="B975" t="s">
        <v>116</v>
      </c>
      <c r="C975" t="s">
        <v>195</v>
      </c>
      <c r="D975">
        <v>2093.5</v>
      </c>
      <c r="E975">
        <v>2093.5</v>
      </c>
      <c r="F975">
        <v>2093.5</v>
      </c>
      <c r="G975">
        <v>2093.5</v>
      </c>
      <c r="I975">
        <v>603.5</v>
      </c>
      <c r="J975">
        <v>753.5</v>
      </c>
      <c r="K975">
        <v>753.5</v>
      </c>
      <c r="L975">
        <v>758.5</v>
      </c>
    </row>
    <row r="976" spans="1:12" x14ac:dyDescent="0.2">
      <c r="A976" t="s">
        <v>27</v>
      </c>
      <c r="B976" t="s">
        <v>116</v>
      </c>
      <c r="C976" t="s">
        <v>196</v>
      </c>
      <c r="D976">
        <v>1573.5</v>
      </c>
      <c r="E976">
        <v>1573.5</v>
      </c>
      <c r="F976">
        <v>1623.5</v>
      </c>
      <c r="I976">
        <v>303.5</v>
      </c>
      <c r="J976">
        <v>353.5</v>
      </c>
      <c r="K976">
        <v>703.5</v>
      </c>
    </row>
    <row r="977" spans="1:12" x14ac:dyDescent="0.2">
      <c r="A977" t="s">
        <v>27</v>
      </c>
      <c r="B977" t="s">
        <v>116</v>
      </c>
      <c r="C977" t="s">
        <v>197</v>
      </c>
      <c r="D977">
        <v>1363.5</v>
      </c>
      <c r="E977">
        <v>1363.5</v>
      </c>
      <c r="I977">
        <v>303.5</v>
      </c>
      <c r="J977">
        <v>303.5</v>
      </c>
    </row>
    <row r="978" spans="1:12" x14ac:dyDescent="0.2">
      <c r="A978" t="s">
        <v>27</v>
      </c>
      <c r="B978" t="s">
        <v>116</v>
      </c>
      <c r="C978" t="s">
        <v>198</v>
      </c>
      <c r="D978">
        <v>753.5</v>
      </c>
      <c r="I978">
        <v>103.5</v>
      </c>
    </row>
    <row r="979" spans="1:12" x14ac:dyDescent="0.2">
      <c r="A979" t="s">
        <v>27</v>
      </c>
      <c r="B979" t="s">
        <v>114</v>
      </c>
      <c r="C979" t="s">
        <v>195</v>
      </c>
      <c r="D979">
        <v>44589.3</v>
      </c>
      <c r="E979">
        <v>44089.3</v>
      </c>
      <c r="F979">
        <v>44089.3</v>
      </c>
      <c r="G979">
        <v>43999.3</v>
      </c>
      <c r="I979">
        <v>17982.3</v>
      </c>
      <c r="J979">
        <v>30037.84</v>
      </c>
      <c r="K979">
        <v>34541.379999999997</v>
      </c>
      <c r="L979">
        <v>36376.559999999998</v>
      </c>
    </row>
    <row r="980" spans="1:12" x14ac:dyDescent="0.2">
      <c r="A980" t="s">
        <v>27</v>
      </c>
      <c r="B980" t="s">
        <v>114</v>
      </c>
      <c r="C980" t="s">
        <v>196</v>
      </c>
      <c r="D980">
        <v>62922.68</v>
      </c>
      <c r="E980">
        <v>62297.68</v>
      </c>
      <c r="F980">
        <v>62297.68</v>
      </c>
      <c r="I980">
        <v>30130.86</v>
      </c>
      <c r="J980">
        <v>45891.14</v>
      </c>
      <c r="K980">
        <v>50469.41</v>
      </c>
    </row>
    <row r="981" spans="1:12" x14ac:dyDescent="0.2">
      <c r="A981" t="s">
        <v>27</v>
      </c>
      <c r="B981" t="s">
        <v>114</v>
      </c>
      <c r="C981" t="s">
        <v>197</v>
      </c>
      <c r="D981">
        <v>61087.21</v>
      </c>
      <c r="E981">
        <v>61457.21</v>
      </c>
      <c r="I981">
        <v>25355.74</v>
      </c>
      <c r="J981">
        <v>39566.74</v>
      </c>
    </row>
    <row r="982" spans="1:12" x14ac:dyDescent="0.2">
      <c r="A982" t="s">
        <v>27</v>
      </c>
      <c r="B982" t="s">
        <v>114</v>
      </c>
      <c r="C982" t="s">
        <v>198</v>
      </c>
      <c r="D982">
        <v>71861.56</v>
      </c>
      <c r="I982">
        <v>25535.759999999998</v>
      </c>
    </row>
    <row r="983" spans="1:12" x14ac:dyDescent="0.2">
      <c r="A983" t="s">
        <v>27</v>
      </c>
      <c r="B983" t="s">
        <v>111</v>
      </c>
      <c r="C983" t="s">
        <v>195</v>
      </c>
      <c r="D983">
        <v>65449</v>
      </c>
      <c r="E983">
        <v>65449</v>
      </c>
      <c r="F983">
        <v>65449</v>
      </c>
      <c r="G983">
        <v>65449</v>
      </c>
      <c r="I983">
        <v>65449</v>
      </c>
      <c r="J983">
        <v>65449</v>
      </c>
      <c r="K983">
        <v>65449</v>
      </c>
      <c r="L983">
        <v>65449</v>
      </c>
    </row>
    <row r="984" spans="1:12" x14ac:dyDescent="0.2">
      <c r="A984" t="s">
        <v>27</v>
      </c>
      <c r="B984" t="s">
        <v>111</v>
      </c>
      <c r="C984" t="s">
        <v>196</v>
      </c>
      <c r="D984">
        <v>63339</v>
      </c>
      <c r="E984">
        <v>62939</v>
      </c>
      <c r="F984">
        <v>62939</v>
      </c>
      <c r="I984">
        <v>62401.4</v>
      </c>
      <c r="J984">
        <v>62594</v>
      </c>
      <c r="K984">
        <v>62644</v>
      </c>
    </row>
    <row r="985" spans="1:12" x14ac:dyDescent="0.2">
      <c r="A985" t="s">
        <v>27</v>
      </c>
      <c r="B985" t="s">
        <v>111</v>
      </c>
      <c r="C985" t="s">
        <v>197</v>
      </c>
      <c r="D985">
        <v>444285.46</v>
      </c>
      <c r="E985">
        <v>444285.46</v>
      </c>
      <c r="I985">
        <v>444277.46</v>
      </c>
      <c r="J985">
        <v>444284.46</v>
      </c>
    </row>
    <row r="986" spans="1:12" x14ac:dyDescent="0.2">
      <c r="A986" t="s">
        <v>27</v>
      </c>
      <c r="B986" t="s">
        <v>111</v>
      </c>
      <c r="C986" t="s">
        <v>198</v>
      </c>
      <c r="D986">
        <v>118769.87</v>
      </c>
      <c r="I986">
        <v>118369.87</v>
      </c>
    </row>
    <row r="987" spans="1:12" x14ac:dyDescent="0.2">
      <c r="A987" t="s">
        <v>27</v>
      </c>
      <c r="B987" t="s">
        <v>112</v>
      </c>
      <c r="C987" t="s">
        <v>195</v>
      </c>
      <c r="D987">
        <v>14547.7</v>
      </c>
      <c r="E987">
        <v>14627.7</v>
      </c>
      <c r="F987">
        <v>14682.7</v>
      </c>
      <c r="G987">
        <v>14682.7</v>
      </c>
      <c r="I987">
        <v>14162.7</v>
      </c>
      <c r="J987">
        <v>14162.7</v>
      </c>
      <c r="K987">
        <v>14162.7</v>
      </c>
      <c r="L987">
        <v>14162.7</v>
      </c>
    </row>
    <row r="988" spans="1:12" x14ac:dyDescent="0.2">
      <c r="A988" t="s">
        <v>27</v>
      </c>
      <c r="B988" t="s">
        <v>112</v>
      </c>
      <c r="C988" t="s">
        <v>196</v>
      </c>
      <c r="D988">
        <v>16761</v>
      </c>
      <c r="E988">
        <v>16846</v>
      </c>
      <c r="F988">
        <v>16846</v>
      </c>
      <c r="I988">
        <v>15846</v>
      </c>
      <c r="J988">
        <v>16241</v>
      </c>
      <c r="K988">
        <v>16241</v>
      </c>
    </row>
    <row r="989" spans="1:12" x14ac:dyDescent="0.2">
      <c r="A989" t="s">
        <v>27</v>
      </c>
      <c r="B989" t="s">
        <v>112</v>
      </c>
      <c r="C989" t="s">
        <v>197</v>
      </c>
      <c r="D989">
        <v>18592</v>
      </c>
      <c r="E989">
        <v>17992</v>
      </c>
      <c r="I989">
        <v>16607</v>
      </c>
      <c r="J989">
        <v>16177</v>
      </c>
    </row>
    <row r="990" spans="1:12" x14ac:dyDescent="0.2">
      <c r="A990" t="s">
        <v>27</v>
      </c>
      <c r="B990" t="s">
        <v>112</v>
      </c>
      <c r="C990" t="s">
        <v>198</v>
      </c>
      <c r="D990">
        <v>17095.77</v>
      </c>
      <c r="I990">
        <v>16250.77</v>
      </c>
    </row>
    <row r="991" spans="1:12" x14ac:dyDescent="0.2">
      <c r="A991" t="s">
        <v>27</v>
      </c>
      <c r="B991" t="s">
        <v>115</v>
      </c>
      <c r="C991" t="s">
        <v>195</v>
      </c>
      <c r="D991">
        <v>227913.3</v>
      </c>
      <c r="E991">
        <v>221528.55</v>
      </c>
      <c r="F991">
        <v>220633.55</v>
      </c>
      <c r="G991">
        <v>220633.55</v>
      </c>
      <c r="I991">
        <v>111480.3</v>
      </c>
      <c r="J991">
        <v>192553.55</v>
      </c>
      <c r="K991">
        <v>203496.55</v>
      </c>
      <c r="L991">
        <v>206490.85</v>
      </c>
    </row>
    <row r="992" spans="1:12" x14ac:dyDescent="0.2">
      <c r="A992" t="s">
        <v>27</v>
      </c>
      <c r="B992" t="s">
        <v>115</v>
      </c>
      <c r="C992" t="s">
        <v>196</v>
      </c>
      <c r="D992">
        <v>216193.05</v>
      </c>
      <c r="E992">
        <v>210694.05</v>
      </c>
      <c r="F992">
        <v>210600.05</v>
      </c>
      <c r="I992">
        <v>106406.65</v>
      </c>
      <c r="J992">
        <v>178295.15</v>
      </c>
      <c r="K992">
        <v>187043.15</v>
      </c>
    </row>
    <row r="993" spans="1:12" x14ac:dyDescent="0.2">
      <c r="A993" t="s">
        <v>27</v>
      </c>
      <c r="B993" t="s">
        <v>115</v>
      </c>
      <c r="C993" t="s">
        <v>197</v>
      </c>
      <c r="D993">
        <v>225759.05</v>
      </c>
      <c r="E993">
        <v>220771.6</v>
      </c>
      <c r="I993">
        <v>111489.25</v>
      </c>
      <c r="J993">
        <v>181464.8</v>
      </c>
    </row>
    <row r="994" spans="1:12" x14ac:dyDescent="0.2">
      <c r="A994" t="s">
        <v>27</v>
      </c>
      <c r="B994" t="s">
        <v>115</v>
      </c>
      <c r="C994" t="s">
        <v>198</v>
      </c>
      <c r="D994">
        <v>178608.95</v>
      </c>
      <c r="I994">
        <v>86507.95</v>
      </c>
    </row>
    <row r="995" spans="1:12" x14ac:dyDescent="0.2">
      <c r="A995" t="s">
        <v>27</v>
      </c>
      <c r="B995" t="s">
        <v>113</v>
      </c>
      <c r="C995" t="s">
        <v>195</v>
      </c>
      <c r="D995">
        <v>7447</v>
      </c>
      <c r="E995">
        <v>7447</v>
      </c>
      <c r="F995">
        <v>7047</v>
      </c>
      <c r="G995">
        <v>7047</v>
      </c>
      <c r="I995">
        <v>7029</v>
      </c>
      <c r="J995">
        <v>7029</v>
      </c>
      <c r="K995">
        <v>7029</v>
      </c>
      <c r="L995">
        <v>7029</v>
      </c>
    </row>
    <row r="996" spans="1:12" x14ac:dyDescent="0.2">
      <c r="A996" t="s">
        <v>27</v>
      </c>
      <c r="B996" t="s">
        <v>113</v>
      </c>
      <c r="C996" t="s">
        <v>196</v>
      </c>
      <c r="D996">
        <v>11503.69</v>
      </c>
      <c r="E996">
        <v>11503.69</v>
      </c>
      <c r="F996">
        <v>11503.69</v>
      </c>
      <c r="I996">
        <v>11503.69</v>
      </c>
      <c r="J996">
        <v>11503.69</v>
      </c>
      <c r="K996">
        <v>11503.69</v>
      </c>
    </row>
    <row r="997" spans="1:12" x14ac:dyDescent="0.2">
      <c r="A997" t="s">
        <v>27</v>
      </c>
      <c r="B997" t="s">
        <v>113</v>
      </c>
      <c r="C997" t="s">
        <v>197</v>
      </c>
      <c r="D997">
        <v>4556.45</v>
      </c>
      <c r="E997">
        <v>4556.45</v>
      </c>
      <c r="I997">
        <v>4515.45</v>
      </c>
      <c r="J997">
        <v>4556.45</v>
      </c>
    </row>
    <row r="998" spans="1:12" x14ac:dyDescent="0.2">
      <c r="A998" t="s">
        <v>27</v>
      </c>
      <c r="B998" t="s">
        <v>113</v>
      </c>
      <c r="C998" t="s">
        <v>198</v>
      </c>
      <c r="D998">
        <v>18427.240000000002</v>
      </c>
      <c r="I998">
        <v>18427.240000000002</v>
      </c>
    </row>
    <row r="999" spans="1:12" x14ac:dyDescent="0.2">
      <c r="A999" t="s">
        <v>27</v>
      </c>
      <c r="B999" t="s">
        <v>72</v>
      </c>
      <c r="C999" t="s">
        <v>195</v>
      </c>
      <c r="D999">
        <v>7341</v>
      </c>
      <c r="E999">
        <v>7041</v>
      </c>
      <c r="F999">
        <v>7041</v>
      </c>
      <c r="G999">
        <v>7041</v>
      </c>
      <c r="I999">
        <v>6491</v>
      </c>
      <c r="J999">
        <v>6941</v>
      </c>
      <c r="K999">
        <v>6941</v>
      </c>
      <c r="L999">
        <v>6941</v>
      </c>
    </row>
    <row r="1000" spans="1:12" x14ac:dyDescent="0.2">
      <c r="A1000" t="s">
        <v>27</v>
      </c>
      <c r="B1000" t="s">
        <v>72</v>
      </c>
      <c r="C1000" t="s">
        <v>196</v>
      </c>
      <c r="D1000">
        <v>13795</v>
      </c>
      <c r="E1000">
        <v>12148</v>
      </c>
      <c r="F1000">
        <v>12148</v>
      </c>
      <c r="I1000">
        <v>10907</v>
      </c>
      <c r="J1000">
        <v>10822</v>
      </c>
      <c r="K1000">
        <v>10822</v>
      </c>
    </row>
    <row r="1001" spans="1:12" x14ac:dyDescent="0.2">
      <c r="A1001" t="s">
        <v>27</v>
      </c>
      <c r="B1001" t="s">
        <v>72</v>
      </c>
      <c r="C1001" t="s">
        <v>197</v>
      </c>
      <c r="D1001">
        <v>10185.9</v>
      </c>
      <c r="E1001">
        <v>8961.9</v>
      </c>
      <c r="I1001">
        <v>6762.9</v>
      </c>
      <c r="J1001">
        <v>6847.9</v>
      </c>
    </row>
    <row r="1002" spans="1:12" x14ac:dyDescent="0.2">
      <c r="A1002" t="s">
        <v>27</v>
      </c>
      <c r="B1002" t="s">
        <v>72</v>
      </c>
      <c r="C1002" t="s">
        <v>198</v>
      </c>
      <c r="D1002">
        <v>10533.75</v>
      </c>
      <c r="I1002">
        <v>8937.75</v>
      </c>
    </row>
    <row r="1003" spans="1:12" x14ac:dyDescent="0.2">
      <c r="A1003" t="s">
        <v>28</v>
      </c>
      <c r="B1003" t="s">
        <v>109</v>
      </c>
      <c r="C1003" t="s">
        <v>195</v>
      </c>
      <c r="D1003">
        <v>181222</v>
      </c>
      <c r="E1003">
        <v>181222</v>
      </c>
      <c r="F1003">
        <v>181222</v>
      </c>
      <c r="G1003">
        <v>181222</v>
      </c>
      <c r="I1003">
        <v>10853.98</v>
      </c>
      <c r="J1003">
        <v>20682.490000000002</v>
      </c>
      <c r="K1003">
        <v>27389.42</v>
      </c>
      <c r="L1003">
        <v>31182.19</v>
      </c>
    </row>
    <row r="1004" spans="1:12" x14ac:dyDescent="0.2">
      <c r="A1004" t="s">
        <v>28</v>
      </c>
      <c r="B1004" t="s">
        <v>109</v>
      </c>
      <c r="C1004" t="s">
        <v>196</v>
      </c>
      <c r="D1004">
        <v>109470.5</v>
      </c>
      <c r="E1004">
        <v>109470.5</v>
      </c>
      <c r="F1004">
        <v>109470.5</v>
      </c>
      <c r="I1004">
        <v>8690.93</v>
      </c>
      <c r="J1004">
        <v>15834.71</v>
      </c>
      <c r="K1004">
        <v>18178.77</v>
      </c>
    </row>
    <row r="1005" spans="1:12" x14ac:dyDescent="0.2">
      <c r="A1005" t="s">
        <v>28</v>
      </c>
      <c r="B1005" t="s">
        <v>109</v>
      </c>
      <c r="C1005" t="s">
        <v>197</v>
      </c>
      <c r="D1005">
        <v>323259</v>
      </c>
      <c r="E1005">
        <v>323259</v>
      </c>
      <c r="I1005">
        <v>8427.73</v>
      </c>
      <c r="J1005">
        <v>13765.16</v>
      </c>
    </row>
    <row r="1006" spans="1:12" x14ac:dyDescent="0.2">
      <c r="A1006" t="s">
        <v>28</v>
      </c>
      <c r="B1006" t="s">
        <v>109</v>
      </c>
      <c r="C1006" t="s">
        <v>198</v>
      </c>
      <c r="D1006">
        <v>68694.259999999995</v>
      </c>
      <c r="I1006">
        <v>2307.23</v>
      </c>
    </row>
    <row r="1007" spans="1:12" x14ac:dyDescent="0.2">
      <c r="A1007" t="s">
        <v>28</v>
      </c>
      <c r="B1007" t="s">
        <v>145</v>
      </c>
      <c r="C1007" t="s">
        <v>195</v>
      </c>
      <c r="D1007">
        <v>50615</v>
      </c>
      <c r="E1007">
        <v>50615</v>
      </c>
      <c r="F1007">
        <v>50615</v>
      </c>
      <c r="G1007">
        <v>50615</v>
      </c>
      <c r="I1007">
        <v>0</v>
      </c>
      <c r="J1007">
        <v>0</v>
      </c>
      <c r="K1007">
        <v>0</v>
      </c>
      <c r="L1007">
        <v>0</v>
      </c>
    </row>
    <row r="1008" spans="1:12" x14ac:dyDescent="0.2">
      <c r="A1008" t="s">
        <v>28</v>
      </c>
      <c r="B1008" t="s">
        <v>145</v>
      </c>
      <c r="C1008" t="s">
        <v>196</v>
      </c>
      <c r="D1008">
        <v>0</v>
      </c>
      <c r="E1008">
        <v>0</v>
      </c>
      <c r="F1008">
        <v>0</v>
      </c>
      <c r="I1008">
        <v>0</v>
      </c>
      <c r="J1008">
        <v>0</v>
      </c>
      <c r="K1008">
        <v>0</v>
      </c>
    </row>
    <row r="1009" spans="1:12" x14ac:dyDescent="0.2">
      <c r="A1009" t="s">
        <v>28</v>
      </c>
      <c r="B1009" t="s">
        <v>145</v>
      </c>
      <c r="C1009" t="s">
        <v>197</v>
      </c>
      <c r="D1009">
        <v>202610</v>
      </c>
      <c r="E1009">
        <v>202610</v>
      </c>
      <c r="I1009">
        <v>0</v>
      </c>
      <c r="J1009">
        <v>0</v>
      </c>
    </row>
    <row r="1010" spans="1:12" x14ac:dyDescent="0.2">
      <c r="A1010" t="s">
        <v>28</v>
      </c>
      <c r="B1010" t="s">
        <v>145</v>
      </c>
      <c r="C1010" t="s">
        <v>198</v>
      </c>
      <c r="D1010">
        <v>415</v>
      </c>
      <c r="I1010">
        <v>0</v>
      </c>
    </row>
    <row r="1011" spans="1:12" x14ac:dyDescent="0.2">
      <c r="A1011" t="s">
        <v>28</v>
      </c>
      <c r="B1011" t="s">
        <v>110</v>
      </c>
      <c r="C1011" t="s">
        <v>195</v>
      </c>
      <c r="D1011">
        <v>84012.5</v>
      </c>
      <c r="E1011">
        <v>84012.5</v>
      </c>
      <c r="F1011">
        <v>83296</v>
      </c>
      <c r="G1011">
        <v>82049.38</v>
      </c>
      <c r="I1011">
        <v>26860</v>
      </c>
      <c r="J1011">
        <v>37339.160000000003</v>
      </c>
      <c r="K1011">
        <v>43052.51</v>
      </c>
      <c r="L1011">
        <v>45855.18</v>
      </c>
    </row>
    <row r="1012" spans="1:12" x14ac:dyDescent="0.2">
      <c r="A1012" t="s">
        <v>28</v>
      </c>
      <c r="B1012" t="s">
        <v>110</v>
      </c>
      <c r="C1012" t="s">
        <v>196</v>
      </c>
      <c r="D1012">
        <v>98141.66</v>
      </c>
      <c r="E1012">
        <v>98141.66</v>
      </c>
      <c r="F1012">
        <v>98141.66</v>
      </c>
      <c r="I1012">
        <v>23796.53</v>
      </c>
      <c r="J1012">
        <v>37160.620000000003</v>
      </c>
      <c r="K1012">
        <v>41887.769999999997</v>
      </c>
    </row>
    <row r="1013" spans="1:12" x14ac:dyDescent="0.2">
      <c r="A1013" t="s">
        <v>28</v>
      </c>
      <c r="B1013" t="s">
        <v>110</v>
      </c>
      <c r="C1013" t="s">
        <v>197</v>
      </c>
      <c r="D1013">
        <v>72886.5</v>
      </c>
      <c r="E1013">
        <v>71270</v>
      </c>
      <c r="I1013">
        <v>18027.580000000002</v>
      </c>
      <c r="J1013">
        <v>23610.3</v>
      </c>
    </row>
    <row r="1014" spans="1:12" x14ac:dyDescent="0.2">
      <c r="A1014" t="s">
        <v>28</v>
      </c>
      <c r="B1014" t="s">
        <v>110</v>
      </c>
      <c r="C1014" t="s">
        <v>198</v>
      </c>
      <c r="D1014">
        <v>56625.5</v>
      </c>
      <c r="I1014">
        <v>9007.7800000000007</v>
      </c>
    </row>
    <row r="1015" spans="1:12" x14ac:dyDescent="0.2">
      <c r="A1015" t="s">
        <v>28</v>
      </c>
      <c r="B1015" t="s">
        <v>116</v>
      </c>
      <c r="C1015" t="s">
        <v>195</v>
      </c>
      <c r="D1015">
        <v>453</v>
      </c>
      <c r="E1015">
        <v>453</v>
      </c>
      <c r="F1015">
        <v>453</v>
      </c>
      <c r="G1015">
        <v>453</v>
      </c>
      <c r="I1015">
        <v>3</v>
      </c>
      <c r="J1015">
        <v>3</v>
      </c>
      <c r="K1015">
        <v>3</v>
      </c>
      <c r="L1015">
        <v>3</v>
      </c>
    </row>
    <row r="1016" spans="1:12" x14ac:dyDescent="0.2">
      <c r="A1016" t="s">
        <v>28</v>
      </c>
      <c r="B1016" t="s">
        <v>116</v>
      </c>
      <c r="C1016" t="s">
        <v>196</v>
      </c>
      <c r="D1016">
        <v>853</v>
      </c>
      <c r="E1016">
        <v>853</v>
      </c>
      <c r="F1016">
        <v>853</v>
      </c>
      <c r="I1016">
        <v>3</v>
      </c>
      <c r="J1016">
        <v>3</v>
      </c>
      <c r="K1016">
        <v>3</v>
      </c>
    </row>
    <row r="1017" spans="1:12" x14ac:dyDescent="0.2">
      <c r="A1017" t="s">
        <v>28</v>
      </c>
      <c r="B1017" t="s">
        <v>116</v>
      </c>
      <c r="C1017" t="s">
        <v>197</v>
      </c>
      <c r="D1017">
        <v>500</v>
      </c>
      <c r="E1017">
        <v>500</v>
      </c>
      <c r="I1017">
        <v>50</v>
      </c>
      <c r="J1017">
        <v>50</v>
      </c>
    </row>
    <row r="1018" spans="1:12" x14ac:dyDescent="0.2">
      <c r="A1018" t="s">
        <v>28</v>
      </c>
      <c r="B1018" t="s">
        <v>116</v>
      </c>
      <c r="C1018" t="s">
        <v>198</v>
      </c>
      <c r="D1018">
        <v>303</v>
      </c>
      <c r="I1018">
        <v>3</v>
      </c>
    </row>
    <row r="1019" spans="1:12" x14ac:dyDescent="0.2">
      <c r="A1019" t="s">
        <v>28</v>
      </c>
      <c r="B1019" t="s">
        <v>114</v>
      </c>
      <c r="C1019" t="s">
        <v>195</v>
      </c>
      <c r="D1019">
        <v>146395</v>
      </c>
      <c r="E1019">
        <v>146395</v>
      </c>
      <c r="F1019">
        <v>145854.5</v>
      </c>
      <c r="G1019">
        <v>144554</v>
      </c>
      <c r="I1019">
        <v>39131.68</v>
      </c>
      <c r="J1019">
        <v>73015.7</v>
      </c>
      <c r="K1019">
        <v>89401.04</v>
      </c>
      <c r="L1019">
        <v>96296.19</v>
      </c>
    </row>
    <row r="1020" spans="1:12" x14ac:dyDescent="0.2">
      <c r="A1020" t="s">
        <v>28</v>
      </c>
      <c r="B1020" t="s">
        <v>114</v>
      </c>
      <c r="C1020" t="s">
        <v>196</v>
      </c>
      <c r="D1020">
        <v>153247</v>
      </c>
      <c r="E1020">
        <v>153247</v>
      </c>
      <c r="F1020">
        <v>151250.70000000001</v>
      </c>
      <c r="I1020">
        <v>52624.79</v>
      </c>
      <c r="J1020">
        <v>81141.56</v>
      </c>
      <c r="K1020">
        <v>91919.75</v>
      </c>
    </row>
    <row r="1021" spans="1:12" x14ac:dyDescent="0.2">
      <c r="A1021" t="s">
        <v>28</v>
      </c>
      <c r="B1021" t="s">
        <v>114</v>
      </c>
      <c r="C1021" t="s">
        <v>197</v>
      </c>
      <c r="D1021">
        <v>145550.5</v>
      </c>
      <c r="E1021">
        <v>145550.5</v>
      </c>
      <c r="I1021">
        <v>49444.75</v>
      </c>
      <c r="J1021">
        <v>67196.59</v>
      </c>
    </row>
    <row r="1022" spans="1:12" x14ac:dyDescent="0.2">
      <c r="A1022" t="s">
        <v>28</v>
      </c>
      <c r="B1022" t="s">
        <v>114</v>
      </c>
      <c r="C1022" t="s">
        <v>198</v>
      </c>
      <c r="D1022">
        <v>95195</v>
      </c>
      <c r="I1022">
        <v>32532.27</v>
      </c>
    </row>
    <row r="1023" spans="1:12" x14ac:dyDescent="0.2">
      <c r="A1023" t="s">
        <v>28</v>
      </c>
      <c r="B1023" t="s">
        <v>111</v>
      </c>
      <c r="C1023" t="s">
        <v>195</v>
      </c>
      <c r="D1023">
        <v>34491.5</v>
      </c>
      <c r="E1023">
        <v>34491.5</v>
      </c>
      <c r="F1023">
        <v>34491.5</v>
      </c>
      <c r="G1023">
        <v>34491.5</v>
      </c>
      <c r="I1023">
        <v>33538</v>
      </c>
      <c r="J1023">
        <v>34491.5</v>
      </c>
      <c r="K1023">
        <v>34491.5</v>
      </c>
      <c r="L1023">
        <v>34491.5</v>
      </c>
    </row>
    <row r="1024" spans="1:12" x14ac:dyDescent="0.2">
      <c r="A1024" t="s">
        <v>28</v>
      </c>
      <c r="B1024" t="s">
        <v>111</v>
      </c>
      <c r="C1024" t="s">
        <v>196</v>
      </c>
      <c r="D1024">
        <v>26093.5</v>
      </c>
      <c r="E1024">
        <v>26093.5</v>
      </c>
      <c r="F1024">
        <v>26093.5</v>
      </c>
      <c r="I1024">
        <v>26093.5</v>
      </c>
      <c r="J1024">
        <v>26553.5</v>
      </c>
      <c r="K1024">
        <v>26553.5</v>
      </c>
    </row>
    <row r="1025" spans="1:12" x14ac:dyDescent="0.2">
      <c r="A1025" t="s">
        <v>28</v>
      </c>
      <c r="B1025" t="s">
        <v>111</v>
      </c>
      <c r="C1025" t="s">
        <v>197</v>
      </c>
      <c r="D1025">
        <v>27836</v>
      </c>
      <c r="E1025">
        <v>27836</v>
      </c>
      <c r="I1025">
        <v>27836</v>
      </c>
      <c r="J1025">
        <v>28646</v>
      </c>
    </row>
    <row r="1026" spans="1:12" x14ac:dyDescent="0.2">
      <c r="A1026" t="s">
        <v>28</v>
      </c>
      <c r="B1026" t="s">
        <v>111</v>
      </c>
      <c r="C1026" t="s">
        <v>198</v>
      </c>
      <c r="D1026">
        <v>27342</v>
      </c>
      <c r="I1026">
        <v>27257</v>
      </c>
    </row>
    <row r="1027" spans="1:12" x14ac:dyDescent="0.2">
      <c r="A1027" t="s">
        <v>28</v>
      </c>
      <c r="B1027" t="s">
        <v>112</v>
      </c>
      <c r="C1027" t="s">
        <v>195</v>
      </c>
      <c r="D1027">
        <v>25032</v>
      </c>
      <c r="E1027">
        <v>25032</v>
      </c>
      <c r="F1027">
        <v>25032</v>
      </c>
      <c r="G1027">
        <v>25032</v>
      </c>
      <c r="I1027">
        <v>24672</v>
      </c>
      <c r="J1027">
        <v>24672</v>
      </c>
      <c r="K1027">
        <v>24672</v>
      </c>
      <c r="L1027">
        <v>24672</v>
      </c>
    </row>
    <row r="1028" spans="1:12" x14ac:dyDescent="0.2">
      <c r="A1028" t="s">
        <v>28</v>
      </c>
      <c r="B1028" t="s">
        <v>112</v>
      </c>
      <c r="C1028" t="s">
        <v>196</v>
      </c>
      <c r="D1028">
        <v>24452</v>
      </c>
      <c r="E1028">
        <v>24452</v>
      </c>
      <c r="F1028">
        <v>24452</v>
      </c>
      <c r="I1028">
        <v>24082</v>
      </c>
      <c r="J1028">
        <v>24302</v>
      </c>
      <c r="K1028">
        <v>24497</v>
      </c>
    </row>
    <row r="1029" spans="1:12" x14ac:dyDescent="0.2">
      <c r="A1029" t="s">
        <v>28</v>
      </c>
      <c r="B1029" t="s">
        <v>112</v>
      </c>
      <c r="C1029" t="s">
        <v>197</v>
      </c>
      <c r="D1029">
        <v>29527</v>
      </c>
      <c r="E1029">
        <v>29092</v>
      </c>
      <c r="I1029">
        <v>28632</v>
      </c>
      <c r="J1029">
        <v>29002</v>
      </c>
    </row>
    <row r="1030" spans="1:12" x14ac:dyDescent="0.2">
      <c r="A1030" t="s">
        <v>28</v>
      </c>
      <c r="B1030" t="s">
        <v>112</v>
      </c>
      <c r="C1030" t="s">
        <v>198</v>
      </c>
      <c r="D1030">
        <v>22736</v>
      </c>
      <c r="I1030">
        <v>22356</v>
      </c>
    </row>
    <row r="1031" spans="1:12" x14ac:dyDescent="0.2">
      <c r="A1031" t="s">
        <v>28</v>
      </c>
      <c r="B1031" t="s">
        <v>115</v>
      </c>
      <c r="C1031" t="s">
        <v>195</v>
      </c>
      <c r="D1031">
        <v>188615.65</v>
      </c>
      <c r="E1031">
        <v>188615.65</v>
      </c>
      <c r="F1031">
        <v>188615.65</v>
      </c>
      <c r="G1031">
        <v>188615.65</v>
      </c>
      <c r="I1031">
        <v>62546.25</v>
      </c>
      <c r="J1031">
        <v>138049.97</v>
      </c>
      <c r="K1031">
        <v>177048</v>
      </c>
      <c r="L1031">
        <v>187200.3</v>
      </c>
    </row>
    <row r="1032" spans="1:12" x14ac:dyDescent="0.2">
      <c r="A1032" t="s">
        <v>28</v>
      </c>
      <c r="B1032" t="s">
        <v>115</v>
      </c>
      <c r="C1032" t="s">
        <v>196</v>
      </c>
      <c r="D1032">
        <v>203049.15</v>
      </c>
      <c r="E1032">
        <v>203049.15</v>
      </c>
      <c r="F1032">
        <v>203049.15</v>
      </c>
      <c r="I1032">
        <v>89440.08</v>
      </c>
      <c r="J1032">
        <v>159192.65</v>
      </c>
      <c r="K1032">
        <v>177970.3</v>
      </c>
    </row>
    <row r="1033" spans="1:12" x14ac:dyDescent="0.2">
      <c r="A1033" t="s">
        <v>28</v>
      </c>
      <c r="B1033" t="s">
        <v>115</v>
      </c>
      <c r="C1033" t="s">
        <v>197</v>
      </c>
      <c r="D1033">
        <v>214765.25</v>
      </c>
      <c r="E1033">
        <v>209910.25</v>
      </c>
      <c r="I1033">
        <v>84031.35</v>
      </c>
      <c r="J1033">
        <v>141110.67000000001</v>
      </c>
    </row>
    <row r="1034" spans="1:12" x14ac:dyDescent="0.2">
      <c r="A1034" t="s">
        <v>28</v>
      </c>
      <c r="B1034" t="s">
        <v>115</v>
      </c>
      <c r="C1034" t="s">
        <v>198</v>
      </c>
      <c r="D1034">
        <v>195115.5</v>
      </c>
      <c r="I1034">
        <v>72805.490000000005</v>
      </c>
    </row>
    <row r="1035" spans="1:12" x14ac:dyDescent="0.2">
      <c r="A1035" t="s">
        <v>28</v>
      </c>
      <c r="B1035" t="s">
        <v>113</v>
      </c>
      <c r="C1035" t="s">
        <v>195</v>
      </c>
      <c r="D1035">
        <v>8106</v>
      </c>
      <c r="E1035">
        <v>8106</v>
      </c>
      <c r="F1035">
        <v>8106</v>
      </c>
      <c r="G1035">
        <v>8106</v>
      </c>
      <c r="I1035">
        <v>8106</v>
      </c>
      <c r="J1035">
        <v>8106</v>
      </c>
      <c r="K1035">
        <v>8106</v>
      </c>
      <c r="L1035">
        <v>8106</v>
      </c>
    </row>
    <row r="1036" spans="1:12" x14ac:dyDescent="0.2">
      <c r="A1036" t="s">
        <v>28</v>
      </c>
      <c r="B1036" t="s">
        <v>113</v>
      </c>
      <c r="C1036" t="s">
        <v>196</v>
      </c>
      <c r="D1036">
        <v>9103</v>
      </c>
      <c r="E1036">
        <v>9103</v>
      </c>
      <c r="F1036">
        <v>9103</v>
      </c>
      <c r="I1036">
        <v>9103</v>
      </c>
      <c r="J1036">
        <v>9103</v>
      </c>
      <c r="K1036">
        <v>9103</v>
      </c>
    </row>
    <row r="1037" spans="1:12" x14ac:dyDescent="0.2">
      <c r="A1037" t="s">
        <v>28</v>
      </c>
      <c r="B1037" t="s">
        <v>113</v>
      </c>
      <c r="C1037" t="s">
        <v>197</v>
      </c>
      <c r="D1037">
        <v>8422</v>
      </c>
      <c r="E1037">
        <v>8422</v>
      </c>
      <c r="I1037">
        <v>8422</v>
      </c>
      <c r="J1037">
        <v>8422</v>
      </c>
    </row>
    <row r="1038" spans="1:12" x14ac:dyDescent="0.2">
      <c r="A1038" t="s">
        <v>28</v>
      </c>
      <c r="B1038" t="s">
        <v>113</v>
      </c>
      <c r="C1038" t="s">
        <v>198</v>
      </c>
      <c r="D1038">
        <v>5726</v>
      </c>
      <c r="I1038">
        <v>5726</v>
      </c>
    </row>
    <row r="1039" spans="1:12" x14ac:dyDescent="0.2">
      <c r="A1039" t="s">
        <v>28</v>
      </c>
      <c r="B1039" t="s">
        <v>72</v>
      </c>
      <c r="C1039" t="s">
        <v>195</v>
      </c>
      <c r="D1039">
        <v>18646.599999999999</v>
      </c>
      <c r="E1039">
        <v>18646.599999999999</v>
      </c>
      <c r="F1039">
        <v>18646.599999999999</v>
      </c>
      <c r="G1039">
        <v>18646.599999999999</v>
      </c>
      <c r="I1039">
        <v>17830.599999999999</v>
      </c>
      <c r="J1039">
        <v>17830.599999999999</v>
      </c>
      <c r="K1039">
        <v>17830.599999999999</v>
      </c>
      <c r="L1039">
        <v>17830.599999999999</v>
      </c>
    </row>
    <row r="1040" spans="1:12" x14ac:dyDescent="0.2">
      <c r="A1040" t="s">
        <v>28</v>
      </c>
      <c r="B1040" t="s">
        <v>72</v>
      </c>
      <c r="C1040" t="s">
        <v>196</v>
      </c>
      <c r="D1040">
        <v>24158.35</v>
      </c>
      <c r="E1040">
        <v>24158.35</v>
      </c>
      <c r="F1040">
        <v>24158.35</v>
      </c>
      <c r="I1040">
        <v>23743.35</v>
      </c>
      <c r="J1040">
        <v>23743.35</v>
      </c>
      <c r="K1040">
        <v>23743.35</v>
      </c>
    </row>
    <row r="1041" spans="1:12" x14ac:dyDescent="0.2">
      <c r="A1041" t="s">
        <v>28</v>
      </c>
      <c r="B1041" t="s">
        <v>72</v>
      </c>
      <c r="C1041" t="s">
        <v>197</v>
      </c>
      <c r="D1041">
        <v>27150.1</v>
      </c>
      <c r="E1041">
        <v>27150.1</v>
      </c>
      <c r="I1041">
        <v>26550.1</v>
      </c>
      <c r="J1041">
        <v>26550.1</v>
      </c>
    </row>
    <row r="1042" spans="1:12" x14ac:dyDescent="0.2">
      <c r="A1042" t="s">
        <v>28</v>
      </c>
      <c r="B1042" t="s">
        <v>72</v>
      </c>
      <c r="C1042" t="s">
        <v>198</v>
      </c>
      <c r="D1042">
        <v>17582.5</v>
      </c>
      <c r="I1042">
        <v>16338.5</v>
      </c>
    </row>
    <row r="1043" spans="1:12" x14ac:dyDescent="0.2">
      <c r="A1043" t="s">
        <v>29</v>
      </c>
      <c r="B1043" t="s">
        <v>109</v>
      </c>
      <c r="C1043" t="s">
        <v>195</v>
      </c>
      <c r="D1043">
        <v>780866.23</v>
      </c>
      <c r="E1043">
        <v>776710.73</v>
      </c>
      <c r="F1043">
        <v>775357.93</v>
      </c>
      <c r="G1043">
        <v>772909.93</v>
      </c>
      <c r="I1043">
        <v>20576.59</v>
      </c>
      <c r="J1043">
        <v>35425.17</v>
      </c>
      <c r="K1043">
        <v>42966.2</v>
      </c>
      <c r="L1043">
        <v>54680.959999999999</v>
      </c>
    </row>
    <row r="1044" spans="1:12" x14ac:dyDescent="0.2">
      <c r="A1044" t="s">
        <v>29</v>
      </c>
      <c r="B1044" t="s">
        <v>109</v>
      </c>
      <c r="C1044" t="s">
        <v>196</v>
      </c>
      <c r="D1044">
        <v>730586.87</v>
      </c>
      <c r="E1044">
        <v>728711.87</v>
      </c>
      <c r="F1044">
        <v>722751.87</v>
      </c>
      <c r="I1044">
        <v>22561.98</v>
      </c>
      <c r="J1044">
        <v>32527.87</v>
      </c>
      <c r="K1044">
        <v>37533.760000000002</v>
      </c>
    </row>
    <row r="1045" spans="1:12" x14ac:dyDescent="0.2">
      <c r="A1045" t="s">
        <v>29</v>
      </c>
      <c r="B1045" t="s">
        <v>109</v>
      </c>
      <c r="C1045" t="s">
        <v>197</v>
      </c>
      <c r="D1045">
        <v>788368.46</v>
      </c>
      <c r="E1045">
        <v>788059.36</v>
      </c>
      <c r="I1045">
        <v>26298.61</v>
      </c>
      <c r="J1045">
        <v>35833.61</v>
      </c>
    </row>
    <row r="1046" spans="1:12" x14ac:dyDescent="0.2">
      <c r="A1046" t="s">
        <v>29</v>
      </c>
      <c r="B1046" t="s">
        <v>109</v>
      </c>
      <c r="C1046" t="s">
        <v>198</v>
      </c>
      <c r="D1046">
        <v>1118884.3799999999</v>
      </c>
      <c r="I1046">
        <v>19651.669999999998</v>
      </c>
    </row>
    <row r="1047" spans="1:12" x14ac:dyDescent="0.2">
      <c r="A1047" t="s">
        <v>29</v>
      </c>
      <c r="B1047" t="s">
        <v>145</v>
      </c>
      <c r="C1047" t="s">
        <v>195</v>
      </c>
      <c r="D1047">
        <v>239919.85</v>
      </c>
      <c r="E1047">
        <v>239919.85</v>
      </c>
      <c r="F1047">
        <v>239919.85</v>
      </c>
      <c r="G1047">
        <v>239969.85</v>
      </c>
      <c r="I1047">
        <v>121</v>
      </c>
      <c r="J1047">
        <v>363</v>
      </c>
      <c r="K1047">
        <v>363</v>
      </c>
      <c r="L1047">
        <v>363</v>
      </c>
    </row>
    <row r="1048" spans="1:12" x14ac:dyDescent="0.2">
      <c r="A1048" t="s">
        <v>29</v>
      </c>
      <c r="B1048" t="s">
        <v>145</v>
      </c>
      <c r="C1048" t="s">
        <v>196</v>
      </c>
      <c r="D1048">
        <v>168993.9</v>
      </c>
      <c r="E1048">
        <v>168993.9</v>
      </c>
      <c r="F1048">
        <v>169043.9</v>
      </c>
      <c r="I1048">
        <v>210</v>
      </c>
      <c r="J1048">
        <v>235</v>
      </c>
      <c r="K1048">
        <v>235</v>
      </c>
    </row>
    <row r="1049" spans="1:12" x14ac:dyDescent="0.2">
      <c r="A1049" t="s">
        <v>29</v>
      </c>
      <c r="B1049" t="s">
        <v>145</v>
      </c>
      <c r="C1049" t="s">
        <v>197</v>
      </c>
      <c r="D1049">
        <v>214027.6</v>
      </c>
      <c r="E1049">
        <v>214027.6</v>
      </c>
      <c r="I1049">
        <v>107</v>
      </c>
      <c r="J1049">
        <v>132</v>
      </c>
    </row>
    <row r="1050" spans="1:12" x14ac:dyDescent="0.2">
      <c r="A1050" t="s">
        <v>29</v>
      </c>
      <c r="B1050" t="s">
        <v>145</v>
      </c>
      <c r="C1050" t="s">
        <v>198</v>
      </c>
      <c r="D1050">
        <v>432121.8</v>
      </c>
      <c r="I1050">
        <v>174</v>
      </c>
    </row>
    <row r="1051" spans="1:12" x14ac:dyDescent="0.2">
      <c r="A1051" t="s">
        <v>29</v>
      </c>
      <c r="B1051" t="s">
        <v>110</v>
      </c>
      <c r="C1051" t="s">
        <v>195</v>
      </c>
      <c r="D1051">
        <v>268758.01</v>
      </c>
      <c r="E1051">
        <v>270884.01</v>
      </c>
      <c r="F1051">
        <v>270548.01</v>
      </c>
      <c r="G1051">
        <v>269656.01</v>
      </c>
      <c r="I1051">
        <v>66010.149999999994</v>
      </c>
      <c r="J1051">
        <v>99953.55</v>
      </c>
      <c r="K1051">
        <v>121031.69</v>
      </c>
      <c r="L1051">
        <v>131028.44</v>
      </c>
    </row>
    <row r="1052" spans="1:12" x14ac:dyDescent="0.2">
      <c r="A1052" t="s">
        <v>29</v>
      </c>
      <c r="B1052" t="s">
        <v>110</v>
      </c>
      <c r="C1052" t="s">
        <v>196</v>
      </c>
      <c r="D1052">
        <v>328561.34000000003</v>
      </c>
      <c r="E1052">
        <v>327957.84000000003</v>
      </c>
      <c r="F1052">
        <v>329821.84000000003</v>
      </c>
      <c r="I1052">
        <v>92610.26</v>
      </c>
      <c r="J1052">
        <v>123094.59</v>
      </c>
      <c r="K1052">
        <v>142947.12</v>
      </c>
    </row>
    <row r="1053" spans="1:12" x14ac:dyDescent="0.2">
      <c r="A1053" t="s">
        <v>29</v>
      </c>
      <c r="B1053" t="s">
        <v>110</v>
      </c>
      <c r="C1053" t="s">
        <v>197</v>
      </c>
      <c r="D1053">
        <v>370554.25</v>
      </c>
      <c r="E1053">
        <v>372403.25</v>
      </c>
      <c r="I1053">
        <v>98971.88</v>
      </c>
      <c r="J1053">
        <v>136046.46</v>
      </c>
    </row>
    <row r="1054" spans="1:12" x14ac:dyDescent="0.2">
      <c r="A1054" t="s">
        <v>29</v>
      </c>
      <c r="B1054" t="s">
        <v>110</v>
      </c>
      <c r="C1054" t="s">
        <v>198</v>
      </c>
      <c r="D1054">
        <v>292676.47999999998</v>
      </c>
      <c r="I1054">
        <v>65955.47</v>
      </c>
    </row>
    <row r="1055" spans="1:12" x14ac:dyDescent="0.2">
      <c r="A1055" t="s">
        <v>29</v>
      </c>
      <c r="B1055" t="s">
        <v>116</v>
      </c>
      <c r="C1055" t="s">
        <v>195</v>
      </c>
      <c r="D1055">
        <v>14927.7</v>
      </c>
      <c r="E1055">
        <v>14877.7</v>
      </c>
      <c r="F1055">
        <v>14877.7</v>
      </c>
      <c r="G1055">
        <v>14877.7</v>
      </c>
      <c r="I1055">
        <v>971.98</v>
      </c>
      <c r="J1055">
        <v>1373.5</v>
      </c>
      <c r="K1055">
        <v>1633.5</v>
      </c>
      <c r="L1055">
        <v>1763.5</v>
      </c>
    </row>
    <row r="1056" spans="1:12" x14ac:dyDescent="0.2">
      <c r="A1056" t="s">
        <v>29</v>
      </c>
      <c r="B1056" t="s">
        <v>116</v>
      </c>
      <c r="C1056" t="s">
        <v>196</v>
      </c>
      <c r="D1056">
        <v>13833.12</v>
      </c>
      <c r="E1056">
        <v>13783.12</v>
      </c>
      <c r="F1056">
        <v>13518.62</v>
      </c>
      <c r="I1056">
        <v>126</v>
      </c>
      <c r="J1056">
        <v>868</v>
      </c>
      <c r="K1056">
        <v>871.5</v>
      </c>
    </row>
    <row r="1057" spans="1:12" x14ac:dyDescent="0.2">
      <c r="A1057" t="s">
        <v>29</v>
      </c>
      <c r="B1057" t="s">
        <v>116</v>
      </c>
      <c r="C1057" t="s">
        <v>197</v>
      </c>
      <c r="D1057">
        <v>20189.599999999999</v>
      </c>
      <c r="E1057">
        <v>20139.599999999999</v>
      </c>
      <c r="I1057">
        <v>509.98</v>
      </c>
      <c r="J1057">
        <v>900.5</v>
      </c>
    </row>
    <row r="1058" spans="1:12" x14ac:dyDescent="0.2">
      <c r="A1058" t="s">
        <v>29</v>
      </c>
      <c r="B1058" t="s">
        <v>116</v>
      </c>
      <c r="C1058" t="s">
        <v>198</v>
      </c>
      <c r="D1058">
        <v>17560.7</v>
      </c>
      <c r="I1058">
        <v>1945.5</v>
      </c>
    </row>
    <row r="1059" spans="1:12" x14ac:dyDescent="0.2">
      <c r="A1059" t="s">
        <v>29</v>
      </c>
      <c r="B1059" t="s">
        <v>114</v>
      </c>
      <c r="C1059" t="s">
        <v>195</v>
      </c>
      <c r="D1059">
        <v>234553.55</v>
      </c>
      <c r="E1059">
        <v>235442.55</v>
      </c>
      <c r="F1059">
        <v>234329.55</v>
      </c>
      <c r="G1059">
        <v>234329.55</v>
      </c>
      <c r="I1059">
        <v>77942.53</v>
      </c>
      <c r="J1059">
        <v>115645.9</v>
      </c>
      <c r="K1059">
        <v>140396.84</v>
      </c>
      <c r="L1059">
        <v>153729.14000000001</v>
      </c>
    </row>
    <row r="1060" spans="1:12" x14ac:dyDescent="0.2">
      <c r="A1060" t="s">
        <v>29</v>
      </c>
      <c r="B1060" t="s">
        <v>114</v>
      </c>
      <c r="C1060" t="s">
        <v>196</v>
      </c>
      <c r="D1060">
        <v>247001.25</v>
      </c>
      <c r="E1060">
        <v>245398.25</v>
      </c>
      <c r="F1060">
        <v>244989.25</v>
      </c>
      <c r="I1060">
        <v>91953.35</v>
      </c>
      <c r="J1060">
        <v>124405.56</v>
      </c>
      <c r="K1060">
        <v>143068.44</v>
      </c>
    </row>
    <row r="1061" spans="1:12" x14ac:dyDescent="0.2">
      <c r="A1061" t="s">
        <v>29</v>
      </c>
      <c r="B1061" t="s">
        <v>114</v>
      </c>
      <c r="C1061" t="s">
        <v>197</v>
      </c>
      <c r="D1061">
        <v>255198.63</v>
      </c>
      <c r="E1061">
        <v>257733.63</v>
      </c>
      <c r="I1061">
        <v>89132.7</v>
      </c>
      <c r="J1061">
        <v>119440.42</v>
      </c>
    </row>
    <row r="1062" spans="1:12" x14ac:dyDescent="0.2">
      <c r="A1062" t="s">
        <v>29</v>
      </c>
      <c r="B1062" t="s">
        <v>114</v>
      </c>
      <c r="C1062" t="s">
        <v>198</v>
      </c>
      <c r="D1062">
        <v>260932.05</v>
      </c>
      <c r="I1062">
        <v>79329.95</v>
      </c>
    </row>
    <row r="1063" spans="1:12" x14ac:dyDescent="0.2">
      <c r="A1063" t="s">
        <v>29</v>
      </c>
      <c r="B1063" t="s">
        <v>111</v>
      </c>
      <c r="C1063" t="s">
        <v>195</v>
      </c>
      <c r="D1063">
        <v>217589.52</v>
      </c>
      <c r="E1063">
        <v>220139.51999999999</v>
      </c>
      <c r="F1063">
        <v>220139.51999999999</v>
      </c>
      <c r="G1063">
        <v>220139.51999999999</v>
      </c>
      <c r="I1063">
        <v>212730.52</v>
      </c>
      <c r="J1063">
        <v>217512.02</v>
      </c>
      <c r="K1063">
        <v>217512.02</v>
      </c>
      <c r="L1063">
        <v>217512.02</v>
      </c>
    </row>
    <row r="1064" spans="1:12" x14ac:dyDescent="0.2">
      <c r="A1064" t="s">
        <v>29</v>
      </c>
      <c r="B1064" t="s">
        <v>111</v>
      </c>
      <c r="C1064" t="s">
        <v>196</v>
      </c>
      <c r="D1064">
        <v>309990</v>
      </c>
      <c r="E1064">
        <v>309920</v>
      </c>
      <c r="F1064">
        <v>309920</v>
      </c>
      <c r="I1064">
        <v>308074</v>
      </c>
      <c r="J1064">
        <v>307657.5</v>
      </c>
      <c r="K1064">
        <v>307857.5</v>
      </c>
    </row>
    <row r="1065" spans="1:12" x14ac:dyDescent="0.2">
      <c r="A1065" t="s">
        <v>29</v>
      </c>
      <c r="B1065" t="s">
        <v>111</v>
      </c>
      <c r="C1065" t="s">
        <v>197</v>
      </c>
      <c r="D1065">
        <v>276599</v>
      </c>
      <c r="E1065">
        <v>276449</v>
      </c>
      <c r="I1065">
        <v>272454.5</v>
      </c>
      <c r="J1065">
        <v>274434.5</v>
      </c>
    </row>
    <row r="1066" spans="1:12" x14ac:dyDescent="0.2">
      <c r="A1066" t="s">
        <v>29</v>
      </c>
      <c r="B1066" t="s">
        <v>111</v>
      </c>
      <c r="C1066" t="s">
        <v>198</v>
      </c>
      <c r="D1066">
        <v>228525.75</v>
      </c>
      <c r="I1066">
        <v>223948.75</v>
      </c>
    </row>
    <row r="1067" spans="1:12" x14ac:dyDescent="0.2">
      <c r="A1067" t="s">
        <v>29</v>
      </c>
      <c r="B1067" t="s">
        <v>112</v>
      </c>
      <c r="C1067" t="s">
        <v>195</v>
      </c>
      <c r="D1067">
        <v>207070.36</v>
      </c>
      <c r="E1067">
        <v>207450.61</v>
      </c>
      <c r="F1067">
        <v>207450.61</v>
      </c>
      <c r="G1067">
        <v>207150.61</v>
      </c>
      <c r="I1067">
        <v>205593.36</v>
      </c>
      <c r="J1067">
        <v>206615.61</v>
      </c>
      <c r="K1067">
        <v>206615.61</v>
      </c>
      <c r="L1067">
        <v>206615.61</v>
      </c>
    </row>
    <row r="1068" spans="1:12" x14ac:dyDescent="0.2">
      <c r="A1068" t="s">
        <v>29</v>
      </c>
      <c r="B1068" t="s">
        <v>112</v>
      </c>
      <c r="C1068" t="s">
        <v>196</v>
      </c>
      <c r="D1068">
        <v>233386.57</v>
      </c>
      <c r="E1068">
        <v>233386.57</v>
      </c>
      <c r="F1068">
        <v>233386.57</v>
      </c>
      <c r="I1068">
        <v>225490.07</v>
      </c>
      <c r="J1068">
        <v>232119.57</v>
      </c>
      <c r="K1068">
        <v>232119.57</v>
      </c>
    </row>
    <row r="1069" spans="1:12" x14ac:dyDescent="0.2">
      <c r="A1069" t="s">
        <v>29</v>
      </c>
      <c r="B1069" t="s">
        <v>112</v>
      </c>
      <c r="C1069" t="s">
        <v>197</v>
      </c>
      <c r="D1069">
        <v>252746.8</v>
      </c>
      <c r="E1069">
        <v>252079.8</v>
      </c>
      <c r="I1069">
        <v>250124.79999999999</v>
      </c>
      <c r="J1069">
        <v>251684.8</v>
      </c>
    </row>
    <row r="1070" spans="1:12" x14ac:dyDescent="0.2">
      <c r="A1070" t="s">
        <v>29</v>
      </c>
      <c r="B1070" t="s">
        <v>112</v>
      </c>
      <c r="C1070" t="s">
        <v>198</v>
      </c>
      <c r="D1070">
        <v>198950.05</v>
      </c>
      <c r="I1070">
        <v>196241.55</v>
      </c>
    </row>
    <row r="1071" spans="1:12" x14ac:dyDescent="0.2">
      <c r="A1071" t="s">
        <v>29</v>
      </c>
      <c r="B1071" t="s">
        <v>115</v>
      </c>
      <c r="C1071" t="s">
        <v>195</v>
      </c>
      <c r="D1071">
        <v>741824.65</v>
      </c>
      <c r="E1071">
        <v>719210.75</v>
      </c>
      <c r="F1071">
        <v>712219.7</v>
      </c>
      <c r="G1071">
        <v>710024.7</v>
      </c>
      <c r="I1071">
        <v>374950.91</v>
      </c>
      <c r="J1071">
        <v>584445.51</v>
      </c>
      <c r="K1071">
        <v>624463.19999999995</v>
      </c>
      <c r="L1071">
        <v>639379.24</v>
      </c>
    </row>
    <row r="1072" spans="1:12" x14ac:dyDescent="0.2">
      <c r="A1072" t="s">
        <v>29</v>
      </c>
      <c r="B1072" t="s">
        <v>115</v>
      </c>
      <c r="C1072" t="s">
        <v>196</v>
      </c>
      <c r="D1072">
        <v>895786.1</v>
      </c>
      <c r="E1072">
        <v>849179.35</v>
      </c>
      <c r="F1072">
        <v>845902.35</v>
      </c>
      <c r="I1072">
        <v>477281.64</v>
      </c>
      <c r="J1072">
        <v>707080.08</v>
      </c>
      <c r="K1072">
        <v>756635.33</v>
      </c>
    </row>
    <row r="1073" spans="1:12" x14ac:dyDescent="0.2">
      <c r="A1073" t="s">
        <v>29</v>
      </c>
      <c r="B1073" t="s">
        <v>115</v>
      </c>
      <c r="C1073" t="s">
        <v>197</v>
      </c>
      <c r="D1073">
        <v>824135.03</v>
      </c>
      <c r="E1073">
        <v>786607.03</v>
      </c>
      <c r="I1073">
        <v>404322.93</v>
      </c>
      <c r="J1073">
        <v>612904.68000000005</v>
      </c>
    </row>
    <row r="1074" spans="1:12" x14ac:dyDescent="0.2">
      <c r="A1074" t="s">
        <v>29</v>
      </c>
      <c r="B1074" t="s">
        <v>115</v>
      </c>
      <c r="C1074" t="s">
        <v>198</v>
      </c>
      <c r="D1074">
        <v>781975.7</v>
      </c>
      <c r="I1074">
        <v>394246.46</v>
      </c>
    </row>
    <row r="1075" spans="1:12" x14ac:dyDescent="0.2">
      <c r="A1075" t="s">
        <v>29</v>
      </c>
      <c r="B1075" t="s">
        <v>113</v>
      </c>
      <c r="C1075" t="s">
        <v>195</v>
      </c>
      <c r="D1075">
        <v>75875.88</v>
      </c>
      <c r="E1075">
        <v>75875.38</v>
      </c>
      <c r="F1075">
        <v>75875.38</v>
      </c>
      <c r="G1075">
        <v>88594.1</v>
      </c>
      <c r="I1075">
        <v>75749.89</v>
      </c>
      <c r="J1075">
        <v>75749.89</v>
      </c>
      <c r="K1075">
        <v>75749.89</v>
      </c>
      <c r="L1075">
        <v>86751.6</v>
      </c>
    </row>
    <row r="1076" spans="1:12" x14ac:dyDescent="0.2">
      <c r="A1076" t="s">
        <v>29</v>
      </c>
      <c r="B1076" t="s">
        <v>113</v>
      </c>
      <c r="C1076" t="s">
        <v>196</v>
      </c>
      <c r="D1076">
        <v>91904.85</v>
      </c>
      <c r="E1076">
        <v>89628.88</v>
      </c>
      <c r="F1076">
        <v>89628.88</v>
      </c>
      <c r="I1076">
        <v>86483.85</v>
      </c>
      <c r="J1076">
        <v>89529.39</v>
      </c>
      <c r="K1076">
        <v>89529.39</v>
      </c>
    </row>
    <row r="1077" spans="1:12" x14ac:dyDescent="0.2">
      <c r="A1077" t="s">
        <v>29</v>
      </c>
      <c r="B1077" t="s">
        <v>113</v>
      </c>
      <c r="C1077" t="s">
        <v>197</v>
      </c>
      <c r="D1077">
        <v>95828.64</v>
      </c>
      <c r="E1077">
        <v>104581.74</v>
      </c>
      <c r="I1077">
        <v>94911.64</v>
      </c>
      <c r="J1077">
        <v>99080.74</v>
      </c>
    </row>
    <row r="1078" spans="1:12" x14ac:dyDescent="0.2">
      <c r="A1078" t="s">
        <v>29</v>
      </c>
      <c r="B1078" t="s">
        <v>113</v>
      </c>
      <c r="C1078" t="s">
        <v>198</v>
      </c>
      <c r="D1078">
        <v>91408.92</v>
      </c>
      <c r="I1078">
        <v>83268.92</v>
      </c>
    </row>
    <row r="1079" spans="1:12" x14ac:dyDescent="0.2">
      <c r="A1079" t="s">
        <v>29</v>
      </c>
      <c r="B1079" t="s">
        <v>72</v>
      </c>
      <c r="C1079" t="s">
        <v>195</v>
      </c>
      <c r="D1079">
        <v>92256.1</v>
      </c>
      <c r="E1079">
        <v>89062.1</v>
      </c>
      <c r="F1079">
        <v>89062.1</v>
      </c>
      <c r="G1079">
        <v>88594.1</v>
      </c>
      <c r="I1079">
        <v>86566.6</v>
      </c>
      <c r="J1079">
        <v>86691.6</v>
      </c>
      <c r="K1079">
        <v>86721.600000000006</v>
      </c>
      <c r="L1079">
        <v>86751.6</v>
      </c>
    </row>
    <row r="1080" spans="1:12" x14ac:dyDescent="0.2">
      <c r="A1080" t="s">
        <v>29</v>
      </c>
      <c r="B1080" t="s">
        <v>72</v>
      </c>
      <c r="C1080" t="s">
        <v>196</v>
      </c>
      <c r="D1080">
        <v>91904.85</v>
      </c>
      <c r="E1080">
        <v>91904.85</v>
      </c>
      <c r="F1080">
        <v>90380.85</v>
      </c>
      <c r="I1080">
        <v>86483.85</v>
      </c>
      <c r="J1080">
        <v>87551.85</v>
      </c>
      <c r="K1080">
        <v>87551.85</v>
      </c>
    </row>
    <row r="1081" spans="1:12" x14ac:dyDescent="0.2">
      <c r="A1081" t="s">
        <v>29</v>
      </c>
      <c r="B1081" t="s">
        <v>72</v>
      </c>
      <c r="C1081" t="s">
        <v>197</v>
      </c>
      <c r="D1081">
        <v>107137.74</v>
      </c>
      <c r="E1081">
        <v>104581.74</v>
      </c>
      <c r="I1081">
        <v>97844.74</v>
      </c>
      <c r="J1081">
        <v>99080.74</v>
      </c>
    </row>
    <row r="1082" spans="1:12" x14ac:dyDescent="0.2">
      <c r="A1082" t="s">
        <v>29</v>
      </c>
      <c r="B1082" t="s">
        <v>72</v>
      </c>
      <c r="C1082" t="s">
        <v>198</v>
      </c>
      <c r="D1082">
        <v>84924.05</v>
      </c>
      <c r="I1082">
        <v>78413.05</v>
      </c>
    </row>
    <row r="1083" spans="1:12" x14ac:dyDescent="0.2">
      <c r="A1083" t="s">
        <v>30</v>
      </c>
      <c r="B1083" t="s">
        <v>109</v>
      </c>
      <c r="C1083" t="s">
        <v>195</v>
      </c>
      <c r="D1083">
        <v>241297.5</v>
      </c>
      <c r="E1083">
        <v>240997.5</v>
      </c>
      <c r="F1083">
        <v>241002.5</v>
      </c>
      <c r="G1083">
        <v>241052.5</v>
      </c>
      <c r="I1083">
        <v>3896.71</v>
      </c>
      <c r="J1083">
        <v>7830.89</v>
      </c>
      <c r="K1083">
        <v>11452.35</v>
      </c>
      <c r="L1083">
        <v>14167.22</v>
      </c>
    </row>
    <row r="1084" spans="1:12" x14ac:dyDescent="0.2">
      <c r="A1084" t="s">
        <v>30</v>
      </c>
      <c r="B1084" t="s">
        <v>109</v>
      </c>
      <c r="C1084" t="s">
        <v>196</v>
      </c>
      <c r="D1084">
        <v>346971</v>
      </c>
      <c r="E1084">
        <v>346771</v>
      </c>
      <c r="F1084">
        <v>347964</v>
      </c>
      <c r="I1084">
        <v>6105.01</v>
      </c>
      <c r="J1084">
        <v>9965.75</v>
      </c>
      <c r="K1084">
        <v>13778.57</v>
      </c>
    </row>
    <row r="1085" spans="1:12" x14ac:dyDescent="0.2">
      <c r="A1085" t="s">
        <v>30</v>
      </c>
      <c r="B1085" t="s">
        <v>109</v>
      </c>
      <c r="C1085" t="s">
        <v>197</v>
      </c>
      <c r="D1085">
        <v>607740.37</v>
      </c>
      <c r="E1085">
        <v>609308.87</v>
      </c>
      <c r="I1085">
        <v>3566.68</v>
      </c>
      <c r="J1085">
        <v>5715.25</v>
      </c>
    </row>
    <row r="1086" spans="1:12" x14ac:dyDescent="0.2">
      <c r="A1086" t="s">
        <v>30</v>
      </c>
      <c r="B1086" t="s">
        <v>109</v>
      </c>
      <c r="C1086" t="s">
        <v>198</v>
      </c>
      <c r="D1086">
        <v>310402.56</v>
      </c>
      <c r="I1086">
        <v>46640.480000000003</v>
      </c>
    </row>
    <row r="1087" spans="1:12" x14ac:dyDescent="0.2">
      <c r="A1087" t="s">
        <v>30</v>
      </c>
      <c r="B1087" t="s">
        <v>145</v>
      </c>
      <c r="C1087" t="s">
        <v>195</v>
      </c>
      <c r="D1087">
        <v>0</v>
      </c>
      <c r="E1087">
        <v>0</v>
      </c>
      <c r="F1087">
        <v>0</v>
      </c>
      <c r="G1087">
        <v>50</v>
      </c>
      <c r="I1087">
        <v>0</v>
      </c>
      <c r="J1087">
        <v>0</v>
      </c>
      <c r="K1087">
        <v>0</v>
      </c>
      <c r="L1087">
        <v>0</v>
      </c>
    </row>
    <row r="1088" spans="1:12" x14ac:dyDescent="0.2">
      <c r="A1088" t="s">
        <v>30</v>
      </c>
      <c r="B1088" t="s">
        <v>145</v>
      </c>
      <c r="C1088" t="s">
        <v>196</v>
      </c>
      <c r="D1088">
        <v>53969.5</v>
      </c>
      <c r="E1088">
        <v>53969.5</v>
      </c>
      <c r="F1088">
        <v>53969.5</v>
      </c>
      <c r="I1088">
        <v>0</v>
      </c>
      <c r="J1088">
        <v>0</v>
      </c>
      <c r="K1088">
        <v>29.94</v>
      </c>
    </row>
    <row r="1089" spans="1:12" x14ac:dyDescent="0.2">
      <c r="A1089" t="s">
        <v>30</v>
      </c>
      <c r="B1089" t="s">
        <v>145</v>
      </c>
      <c r="C1089" t="s">
        <v>197</v>
      </c>
      <c r="D1089">
        <v>215459</v>
      </c>
      <c r="E1089">
        <v>215459</v>
      </c>
      <c r="I1089">
        <v>0</v>
      </c>
      <c r="J1089">
        <v>0</v>
      </c>
    </row>
    <row r="1090" spans="1:12" x14ac:dyDescent="0.2">
      <c r="A1090" t="s">
        <v>30</v>
      </c>
      <c r="B1090" t="s">
        <v>145</v>
      </c>
      <c r="C1090" t="s">
        <v>198</v>
      </c>
      <c r="D1090">
        <v>2576.5</v>
      </c>
      <c r="I1090">
        <v>50</v>
      </c>
    </row>
    <row r="1091" spans="1:12" x14ac:dyDescent="0.2">
      <c r="A1091" t="s">
        <v>30</v>
      </c>
      <c r="B1091" t="s">
        <v>110</v>
      </c>
      <c r="C1091" t="s">
        <v>195</v>
      </c>
      <c r="D1091">
        <v>89084.29</v>
      </c>
      <c r="E1091">
        <v>89276.29</v>
      </c>
      <c r="F1091">
        <v>89211.29</v>
      </c>
      <c r="G1091">
        <v>89211.29</v>
      </c>
      <c r="I1091">
        <v>6502.04</v>
      </c>
      <c r="J1091">
        <v>9528.81</v>
      </c>
      <c r="K1091">
        <v>12019.81</v>
      </c>
      <c r="L1091">
        <v>13912.06</v>
      </c>
    </row>
    <row r="1092" spans="1:12" x14ac:dyDescent="0.2">
      <c r="A1092" t="s">
        <v>30</v>
      </c>
      <c r="B1092" t="s">
        <v>110</v>
      </c>
      <c r="C1092" t="s">
        <v>196</v>
      </c>
      <c r="D1092">
        <v>127479.75</v>
      </c>
      <c r="E1092">
        <v>126949.25</v>
      </c>
      <c r="F1092">
        <v>126999.25</v>
      </c>
      <c r="I1092">
        <v>10926.25</v>
      </c>
      <c r="J1092">
        <v>15803.75</v>
      </c>
      <c r="K1092">
        <v>18196.68</v>
      </c>
    </row>
    <row r="1093" spans="1:12" x14ac:dyDescent="0.2">
      <c r="A1093" t="s">
        <v>30</v>
      </c>
      <c r="B1093" t="s">
        <v>110</v>
      </c>
      <c r="C1093" t="s">
        <v>197</v>
      </c>
      <c r="D1093">
        <v>139525.25</v>
      </c>
      <c r="E1093">
        <v>139625.25</v>
      </c>
      <c r="I1093">
        <v>8597.25</v>
      </c>
      <c r="J1093">
        <v>12572.41</v>
      </c>
    </row>
    <row r="1094" spans="1:12" x14ac:dyDescent="0.2">
      <c r="A1094" t="s">
        <v>30</v>
      </c>
      <c r="B1094" t="s">
        <v>110</v>
      </c>
      <c r="C1094" t="s">
        <v>198</v>
      </c>
      <c r="D1094">
        <v>101544</v>
      </c>
      <c r="I1094">
        <v>7806.5</v>
      </c>
    </row>
    <row r="1095" spans="1:12" x14ac:dyDescent="0.2">
      <c r="A1095" t="s">
        <v>30</v>
      </c>
      <c r="B1095" t="s">
        <v>116</v>
      </c>
      <c r="C1095" t="s">
        <v>195</v>
      </c>
      <c r="D1095">
        <v>13081.5</v>
      </c>
      <c r="E1095">
        <v>12931.5</v>
      </c>
      <c r="F1095">
        <v>12931.5</v>
      </c>
      <c r="G1095">
        <v>12931.5</v>
      </c>
      <c r="I1095">
        <v>869.62</v>
      </c>
      <c r="J1095">
        <v>1368.62</v>
      </c>
      <c r="K1095">
        <v>1920.62</v>
      </c>
      <c r="L1095">
        <v>1920.62</v>
      </c>
    </row>
    <row r="1096" spans="1:12" x14ac:dyDescent="0.2">
      <c r="A1096" t="s">
        <v>30</v>
      </c>
      <c r="B1096" t="s">
        <v>116</v>
      </c>
      <c r="C1096" t="s">
        <v>196</v>
      </c>
      <c r="D1096">
        <v>33691</v>
      </c>
      <c r="E1096">
        <v>33741</v>
      </c>
      <c r="F1096">
        <v>33741</v>
      </c>
      <c r="I1096">
        <v>592</v>
      </c>
      <c r="J1096">
        <v>1932.3</v>
      </c>
      <c r="K1096">
        <v>2861</v>
      </c>
    </row>
    <row r="1097" spans="1:12" x14ac:dyDescent="0.2">
      <c r="A1097" t="s">
        <v>30</v>
      </c>
      <c r="B1097" t="s">
        <v>116</v>
      </c>
      <c r="C1097" t="s">
        <v>197</v>
      </c>
      <c r="D1097">
        <v>17209.5</v>
      </c>
      <c r="E1097">
        <v>17209.5</v>
      </c>
      <c r="I1097">
        <v>1387.4</v>
      </c>
      <c r="J1097">
        <v>3243.79</v>
      </c>
    </row>
    <row r="1098" spans="1:12" x14ac:dyDescent="0.2">
      <c r="A1098" t="s">
        <v>30</v>
      </c>
      <c r="B1098" t="s">
        <v>116</v>
      </c>
      <c r="C1098" t="s">
        <v>198</v>
      </c>
      <c r="D1098">
        <v>15080</v>
      </c>
      <c r="I1098">
        <v>669</v>
      </c>
    </row>
    <row r="1099" spans="1:12" x14ac:dyDescent="0.2">
      <c r="A1099" t="s">
        <v>30</v>
      </c>
      <c r="B1099" t="s">
        <v>114</v>
      </c>
      <c r="C1099" t="s">
        <v>195</v>
      </c>
      <c r="D1099">
        <v>88328.5</v>
      </c>
      <c r="E1099">
        <v>88328.5</v>
      </c>
      <c r="F1099">
        <v>88278.5</v>
      </c>
      <c r="G1099">
        <v>88221.5</v>
      </c>
      <c r="I1099">
        <v>13626.75</v>
      </c>
      <c r="J1099">
        <v>25121.75</v>
      </c>
      <c r="K1099">
        <v>34915.949999999997</v>
      </c>
      <c r="L1099">
        <v>36885.25</v>
      </c>
    </row>
    <row r="1100" spans="1:12" x14ac:dyDescent="0.2">
      <c r="A1100" t="s">
        <v>30</v>
      </c>
      <c r="B1100" t="s">
        <v>114</v>
      </c>
      <c r="C1100" t="s">
        <v>196</v>
      </c>
      <c r="D1100">
        <v>98567.75</v>
      </c>
      <c r="E1100">
        <v>98567.75</v>
      </c>
      <c r="F1100">
        <v>98567.75</v>
      </c>
      <c r="I1100">
        <v>18977</v>
      </c>
      <c r="J1100">
        <v>33884.25</v>
      </c>
      <c r="K1100">
        <v>38883</v>
      </c>
    </row>
    <row r="1101" spans="1:12" x14ac:dyDescent="0.2">
      <c r="A1101" t="s">
        <v>30</v>
      </c>
      <c r="B1101" t="s">
        <v>114</v>
      </c>
      <c r="C1101" t="s">
        <v>197</v>
      </c>
      <c r="D1101">
        <v>123968.5</v>
      </c>
      <c r="E1101">
        <v>123968.5</v>
      </c>
      <c r="I1101">
        <v>14494.75</v>
      </c>
      <c r="J1101">
        <v>33586.120000000003</v>
      </c>
    </row>
    <row r="1102" spans="1:12" x14ac:dyDescent="0.2">
      <c r="A1102" t="s">
        <v>30</v>
      </c>
      <c r="B1102" t="s">
        <v>114</v>
      </c>
      <c r="C1102" t="s">
        <v>198</v>
      </c>
      <c r="D1102">
        <v>118058</v>
      </c>
      <c r="I1102">
        <v>12386.25</v>
      </c>
    </row>
    <row r="1103" spans="1:12" x14ac:dyDescent="0.2">
      <c r="A1103" t="s">
        <v>30</v>
      </c>
      <c r="B1103" t="s">
        <v>111</v>
      </c>
      <c r="C1103" t="s">
        <v>195</v>
      </c>
      <c r="D1103">
        <v>116483.62</v>
      </c>
      <c r="E1103">
        <v>116483.62</v>
      </c>
      <c r="F1103">
        <v>116483.62</v>
      </c>
      <c r="G1103">
        <v>116483.62</v>
      </c>
      <c r="I1103">
        <v>116483.62</v>
      </c>
      <c r="J1103">
        <v>116483.62</v>
      </c>
      <c r="K1103">
        <v>116483.62</v>
      </c>
      <c r="L1103">
        <v>116483.62</v>
      </c>
    </row>
    <row r="1104" spans="1:12" x14ac:dyDescent="0.2">
      <c r="A1104" t="s">
        <v>30</v>
      </c>
      <c r="B1104" t="s">
        <v>111</v>
      </c>
      <c r="C1104" t="s">
        <v>196</v>
      </c>
      <c r="D1104">
        <v>101280</v>
      </c>
      <c r="E1104">
        <v>101280</v>
      </c>
      <c r="F1104">
        <v>101280</v>
      </c>
      <c r="I1104">
        <v>100880</v>
      </c>
      <c r="J1104">
        <v>101280</v>
      </c>
      <c r="K1104">
        <v>101280</v>
      </c>
    </row>
    <row r="1105" spans="1:12" x14ac:dyDescent="0.2">
      <c r="A1105" t="s">
        <v>30</v>
      </c>
      <c r="B1105" t="s">
        <v>111</v>
      </c>
      <c r="C1105" t="s">
        <v>197</v>
      </c>
      <c r="D1105">
        <v>123821.24</v>
      </c>
      <c r="E1105">
        <v>123821.24</v>
      </c>
      <c r="I1105">
        <v>123821.24</v>
      </c>
      <c r="J1105">
        <v>123821.24</v>
      </c>
    </row>
    <row r="1106" spans="1:12" x14ac:dyDescent="0.2">
      <c r="A1106" t="s">
        <v>30</v>
      </c>
      <c r="B1106" t="s">
        <v>111</v>
      </c>
      <c r="C1106" t="s">
        <v>198</v>
      </c>
      <c r="D1106">
        <v>100424.59</v>
      </c>
      <c r="I1106">
        <v>98621.09</v>
      </c>
    </row>
    <row r="1107" spans="1:12" x14ac:dyDescent="0.2">
      <c r="A1107" t="s">
        <v>30</v>
      </c>
      <c r="B1107" t="s">
        <v>112</v>
      </c>
      <c r="C1107" t="s">
        <v>195</v>
      </c>
      <c r="D1107">
        <v>96712.37</v>
      </c>
      <c r="E1107">
        <v>96712.37</v>
      </c>
      <c r="F1107">
        <v>96712.37</v>
      </c>
      <c r="G1107">
        <v>96712.37</v>
      </c>
      <c r="I1107">
        <v>96712.37</v>
      </c>
      <c r="J1107">
        <v>96712.37</v>
      </c>
      <c r="K1107">
        <v>96712.37</v>
      </c>
      <c r="L1107">
        <v>96712.37</v>
      </c>
    </row>
    <row r="1108" spans="1:12" x14ac:dyDescent="0.2">
      <c r="A1108" t="s">
        <v>30</v>
      </c>
      <c r="B1108" t="s">
        <v>112</v>
      </c>
      <c r="C1108" t="s">
        <v>196</v>
      </c>
      <c r="D1108">
        <v>104381.7</v>
      </c>
      <c r="E1108">
        <v>104381.7</v>
      </c>
      <c r="F1108">
        <v>104381.7</v>
      </c>
      <c r="I1108">
        <v>104071.7</v>
      </c>
      <c r="J1108">
        <v>104381.7</v>
      </c>
      <c r="K1108">
        <v>104381.7</v>
      </c>
    </row>
    <row r="1109" spans="1:12" x14ac:dyDescent="0.2">
      <c r="A1109" t="s">
        <v>30</v>
      </c>
      <c r="B1109" t="s">
        <v>112</v>
      </c>
      <c r="C1109" t="s">
        <v>197</v>
      </c>
      <c r="D1109">
        <v>106857.75</v>
      </c>
      <c r="E1109">
        <v>106857.75</v>
      </c>
      <c r="I1109">
        <v>106857.75</v>
      </c>
      <c r="J1109">
        <v>106857.75</v>
      </c>
    </row>
    <row r="1110" spans="1:12" x14ac:dyDescent="0.2">
      <c r="A1110" t="s">
        <v>30</v>
      </c>
      <c r="B1110" t="s">
        <v>112</v>
      </c>
      <c r="C1110" t="s">
        <v>198</v>
      </c>
      <c r="D1110">
        <v>96927.2</v>
      </c>
      <c r="I1110">
        <v>96917.2</v>
      </c>
    </row>
    <row r="1111" spans="1:12" x14ac:dyDescent="0.2">
      <c r="A1111" t="s">
        <v>30</v>
      </c>
      <c r="B1111" t="s">
        <v>115</v>
      </c>
      <c r="C1111" t="s">
        <v>195</v>
      </c>
      <c r="D1111">
        <v>149025.65</v>
      </c>
      <c r="E1111">
        <v>147926.04999999999</v>
      </c>
      <c r="F1111">
        <v>148092.04999999999</v>
      </c>
      <c r="G1111">
        <v>148092.04999999999</v>
      </c>
      <c r="I1111">
        <v>72526.399999999994</v>
      </c>
      <c r="J1111">
        <v>124145.05</v>
      </c>
      <c r="K1111">
        <v>129903.05</v>
      </c>
      <c r="L1111">
        <v>132238.89000000001</v>
      </c>
    </row>
    <row r="1112" spans="1:12" x14ac:dyDescent="0.2">
      <c r="A1112" t="s">
        <v>30</v>
      </c>
      <c r="B1112" t="s">
        <v>115</v>
      </c>
      <c r="C1112" t="s">
        <v>196</v>
      </c>
      <c r="D1112">
        <v>178199.55</v>
      </c>
      <c r="E1112">
        <v>178510.3</v>
      </c>
      <c r="F1112">
        <v>178750.3</v>
      </c>
      <c r="I1112">
        <v>87448.3</v>
      </c>
      <c r="J1112">
        <v>145582.29999999999</v>
      </c>
      <c r="K1112">
        <v>155782.29999999999</v>
      </c>
    </row>
    <row r="1113" spans="1:12" x14ac:dyDescent="0.2">
      <c r="A1113" t="s">
        <v>30</v>
      </c>
      <c r="B1113" t="s">
        <v>115</v>
      </c>
      <c r="C1113" t="s">
        <v>197</v>
      </c>
      <c r="D1113">
        <v>198531.65</v>
      </c>
      <c r="E1113">
        <v>198749.15</v>
      </c>
      <c r="I1113">
        <v>100496.65</v>
      </c>
      <c r="J1113">
        <v>158062.15</v>
      </c>
    </row>
    <row r="1114" spans="1:12" x14ac:dyDescent="0.2">
      <c r="A1114" t="s">
        <v>30</v>
      </c>
      <c r="B1114" t="s">
        <v>115</v>
      </c>
      <c r="C1114" t="s">
        <v>198</v>
      </c>
      <c r="D1114">
        <v>155994.25</v>
      </c>
      <c r="I1114">
        <v>71559.25</v>
      </c>
    </row>
    <row r="1115" spans="1:12" x14ac:dyDescent="0.2">
      <c r="A1115" t="s">
        <v>30</v>
      </c>
      <c r="B1115" t="s">
        <v>113</v>
      </c>
      <c r="C1115" t="s">
        <v>195</v>
      </c>
      <c r="D1115">
        <v>42554.720000000001</v>
      </c>
      <c r="E1115">
        <v>42212.72</v>
      </c>
      <c r="F1115">
        <v>42215.72</v>
      </c>
      <c r="G1115">
        <v>42215.72</v>
      </c>
      <c r="I1115">
        <v>41966.720000000001</v>
      </c>
      <c r="J1115">
        <v>41969.72</v>
      </c>
      <c r="K1115">
        <v>41972.72</v>
      </c>
      <c r="L1115">
        <v>41972.72</v>
      </c>
    </row>
    <row r="1116" spans="1:12" x14ac:dyDescent="0.2">
      <c r="A1116" t="s">
        <v>30</v>
      </c>
      <c r="B1116" t="s">
        <v>113</v>
      </c>
      <c r="C1116" t="s">
        <v>196</v>
      </c>
      <c r="D1116">
        <v>55711</v>
      </c>
      <c r="E1116">
        <v>55711</v>
      </c>
      <c r="F1116">
        <v>55711</v>
      </c>
      <c r="I1116">
        <v>55483</v>
      </c>
      <c r="J1116">
        <v>55524</v>
      </c>
      <c r="K1116">
        <v>55524</v>
      </c>
    </row>
    <row r="1117" spans="1:12" x14ac:dyDescent="0.2">
      <c r="A1117" t="s">
        <v>30</v>
      </c>
      <c r="B1117" t="s">
        <v>113</v>
      </c>
      <c r="C1117" t="s">
        <v>197</v>
      </c>
      <c r="D1117">
        <v>51543.5</v>
      </c>
      <c r="E1117">
        <v>51549.5</v>
      </c>
      <c r="I1117">
        <v>50812.5</v>
      </c>
      <c r="J1117">
        <v>51218.5</v>
      </c>
    </row>
    <row r="1118" spans="1:12" x14ac:dyDescent="0.2">
      <c r="A1118" t="s">
        <v>30</v>
      </c>
      <c r="B1118" t="s">
        <v>113</v>
      </c>
      <c r="C1118" t="s">
        <v>198</v>
      </c>
      <c r="D1118">
        <v>47883.51</v>
      </c>
      <c r="I1118">
        <v>47248.51</v>
      </c>
    </row>
    <row r="1119" spans="1:12" x14ac:dyDescent="0.2">
      <c r="A1119" t="s">
        <v>30</v>
      </c>
      <c r="B1119" t="s">
        <v>72</v>
      </c>
      <c r="C1119" t="s">
        <v>195</v>
      </c>
      <c r="D1119">
        <v>36671</v>
      </c>
      <c r="E1119">
        <v>36671</v>
      </c>
      <c r="F1119">
        <v>36671</v>
      </c>
      <c r="G1119">
        <v>36671</v>
      </c>
      <c r="I1119">
        <v>34325</v>
      </c>
      <c r="J1119">
        <v>34628</v>
      </c>
      <c r="K1119">
        <v>34628</v>
      </c>
      <c r="L1119">
        <v>34628</v>
      </c>
    </row>
    <row r="1120" spans="1:12" x14ac:dyDescent="0.2">
      <c r="A1120" t="s">
        <v>30</v>
      </c>
      <c r="B1120" t="s">
        <v>72</v>
      </c>
      <c r="C1120" t="s">
        <v>196</v>
      </c>
      <c r="D1120">
        <v>48340</v>
      </c>
      <c r="E1120">
        <v>48270</v>
      </c>
      <c r="F1120">
        <v>47862</v>
      </c>
      <c r="I1120">
        <v>44070</v>
      </c>
      <c r="J1120">
        <v>44595</v>
      </c>
      <c r="K1120">
        <v>44620</v>
      </c>
    </row>
    <row r="1121" spans="1:12" x14ac:dyDescent="0.2">
      <c r="A1121" t="s">
        <v>30</v>
      </c>
      <c r="B1121" t="s">
        <v>72</v>
      </c>
      <c r="C1121" t="s">
        <v>197</v>
      </c>
      <c r="D1121">
        <v>55931.45</v>
      </c>
      <c r="E1121">
        <v>55043.45</v>
      </c>
      <c r="I1121">
        <v>49377.45</v>
      </c>
      <c r="J1121">
        <v>49922.45</v>
      </c>
    </row>
    <row r="1122" spans="1:12" x14ac:dyDescent="0.2">
      <c r="A1122" t="s">
        <v>30</v>
      </c>
      <c r="B1122" t="s">
        <v>72</v>
      </c>
      <c r="C1122" t="s">
        <v>198</v>
      </c>
      <c r="D1122">
        <v>35651</v>
      </c>
      <c r="I1122">
        <v>31753.5</v>
      </c>
    </row>
    <row r="1123" spans="1:12" x14ac:dyDescent="0.2">
      <c r="A1123" t="s">
        <v>31</v>
      </c>
      <c r="B1123" t="s">
        <v>109</v>
      </c>
      <c r="C1123" t="s">
        <v>195</v>
      </c>
      <c r="D1123">
        <v>5212843</v>
      </c>
      <c r="E1123">
        <v>5198299</v>
      </c>
      <c r="F1123">
        <v>5188018</v>
      </c>
      <c r="G1123">
        <v>5178655</v>
      </c>
      <c r="I1123">
        <v>335452</v>
      </c>
      <c r="J1123">
        <v>410199</v>
      </c>
      <c r="K1123">
        <v>472469</v>
      </c>
      <c r="L1123">
        <v>531123</v>
      </c>
    </row>
    <row r="1124" spans="1:12" x14ac:dyDescent="0.2">
      <c r="A1124" t="s">
        <v>31</v>
      </c>
      <c r="B1124" t="s">
        <v>109</v>
      </c>
      <c r="C1124" t="s">
        <v>196</v>
      </c>
      <c r="D1124">
        <v>5909302</v>
      </c>
      <c r="E1124">
        <v>5885067</v>
      </c>
      <c r="F1124">
        <v>5876550</v>
      </c>
      <c r="I1124">
        <v>342063</v>
      </c>
      <c r="J1124">
        <v>417522</v>
      </c>
      <c r="K1124">
        <v>469840</v>
      </c>
    </row>
    <row r="1125" spans="1:12" x14ac:dyDescent="0.2">
      <c r="A1125" t="s">
        <v>31</v>
      </c>
      <c r="B1125" t="s">
        <v>109</v>
      </c>
      <c r="C1125" t="s">
        <v>197</v>
      </c>
      <c r="D1125">
        <v>8589740</v>
      </c>
      <c r="E1125">
        <v>8571310</v>
      </c>
      <c r="I1125">
        <v>316784</v>
      </c>
      <c r="J1125">
        <v>389323</v>
      </c>
    </row>
    <row r="1126" spans="1:12" x14ac:dyDescent="0.2">
      <c r="A1126" t="s">
        <v>31</v>
      </c>
      <c r="B1126" t="s">
        <v>109</v>
      </c>
      <c r="C1126" t="s">
        <v>198</v>
      </c>
      <c r="D1126">
        <v>7716030</v>
      </c>
      <c r="I1126">
        <v>247937</v>
      </c>
    </row>
    <row r="1127" spans="1:12" x14ac:dyDescent="0.2">
      <c r="A1127" t="s">
        <v>31</v>
      </c>
      <c r="B1127" t="s">
        <v>145</v>
      </c>
      <c r="C1127" t="s">
        <v>195</v>
      </c>
      <c r="D1127">
        <v>2731295</v>
      </c>
      <c r="E1127">
        <v>2731095</v>
      </c>
      <c r="F1127">
        <v>2731010</v>
      </c>
      <c r="G1127">
        <v>2731010</v>
      </c>
      <c r="I1127">
        <v>844</v>
      </c>
      <c r="J1127">
        <v>996</v>
      </c>
      <c r="K1127">
        <v>1261</v>
      </c>
      <c r="L1127">
        <v>1971</v>
      </c>
    </row>
    <row r="1128" spans="1:12" x14ac:dyDescent="0.2">
      <c r="A1128" t="s">
        <v>31</v>
      </c>
      <c r="B1128" t="s">
        <v>145</v>
      </c>
      <c r="C1128" t="s">
        <v>196</v>
      </c>
      <c r="D1128">
        <v>3296258</v>
      </c>
      <c r="E1128">
        <v>3296058</v>
      </c>
      <c r="F1128">
        <v>3296008</v>
      </c>
      <c r="I1128">
        <v>608</v>
      </c>
      <c r="J1128">
        <v>988</v>
      </c>
      <c r="K1128">
        <v>1428</v>
      </c>
    </row>
    <row r="1129" spans="1:12" x14ac:dyDescent="0.2">
      <c r="A1129" t="s">
        <v>31</v>
      </c>
      <c r="B1129" t="s">
        <v>145</v>
      </c>
      <c r="C1129" t="s">
        <v>197</v>
      </c>
      <c r="D1129">
        <v>5765276</v>
      </c>
      <c r="E1129">
        <v>5765076</v>
      </c>
      <c r="I1129">
        <v>300</v>
      </c>
      <c r="J1129">
        <v>1093</v>
      </c>
    </row>
    <row r="1130" spans="1:12" x14ac:dyDescent="0.2">
      <c r="A1130" t="s">
        <v>31</v>
      </c>
      <c r="B1130" t="s">
        <v>145</v>
      </c>
      <c r="C1130" t="s">
        <v>198</v>
      </c>
      <c r="D1130">
        <v>5358451</v>
      </c>
      <c r="I1130">
        <v>570</v>
      </c>
    </row>
    <row r="1131" spans="1:12" x14ac:dyDescent="0.2">
      <c r="A1131" t="s">
        <v>31</v>
      </c>
      <c r="B1131" t="s">
        <v>110</v>
      </c>
      <c r="C1131" t="s">
        <v>195</v>
      </c>
      <c r="D1131">
        <v>1815223</v>
      </c>
      <c r="E1131">
        <v>1688339</v>
      </c>
      <c r="F1131">
        <v>1616205</v>
      </c>
      <c r="G1131">
        <v>1585031</v>
      </c>
      <c r="I1131">
        <v>311027</v>
      </c>
      <c r="J1131">
        <v>510463</v>
      </c>
      <c r="K1131">
        <v>602086</v>
      </c>
      <c r="L1131">
        <v>644995</v>
      </c>
    </row>
    <row r="1132" spans="1:12" x14ac:dyDescent="0.2">
      <c r="A1132" t="s">
        <v>31</v>
      </c>
      <c r="B1132" t="s">
        <v>110</v>
      </c>
      <c r="C1132" t="s">
        <v>196</v>
      </c>
      <c r="D1132">
        <v>1727389</v>
      </c>
      <c r="E1132">
        <v>1602011</v>
      </c>
      <c r="F1132">
        <v>1539246</v>
      </c>
      <c r="I1132">
        <v>253242</v>
      </c>
      <c r="J1132">
        <v>435314</v>
      </c>
      <c r="K1132">
        <v>495071</v>
      </c>
    </row>
    <row r="1133" spans="1:12" x14ac:dyDescent="0.2">
      <c r="A1133" t="s">
        <v>31</v>
      </c>
      <c r="B1133" t="s">
        <v>110</v>
      </c>
      <c r="C1133" t="s">
        <v>197</v>
      </c>
      <c r="D1133">
        <v>1653165</v>
      </c>
      <c r="E1133">
        <v>1547546</v>
      </c>
      <c r="I1133">
        <v>266491</v>
      </c>
      <c r="J1133">
        <v>419926</v>
      </c>
    </row>
    <row r="1134" spans="1:12" x14ac:dyDescent="0.2">
      <c r="A1134" t="s">
        <v>31</v>
      </c>
      <c r="B1134" t="s">
        <v>110</v>
      </c>
      <c r="C1134" t="s">
        <v>198</v>
      </c>
      <c r="D1134">
        <v>1457899</v>
      </c>
      <c r="I1134">
        <v>216818</v>
      </c>
    </row>
    <row r="1135" spans="1:12" x14ac:dyDescent="0.2">
      <c r="A1135" t="s">
        <v>31</v>
      </c>
      <c r="B1135" t="s">
        <v>116</v>
      </c>
      <c r="C1135" t="s">
        <v>195</v>
      </c>
      <c r="D1135">
        <v>101099</v>
      </c>
      <c r="E1135">
        <v>97699</v>
      </c>
      <c r="F1135">
        <v>96784</v>
      </c>
      <c r="G1135">
        <v>96464</v>
      </c>
      <c r="I1135">
        <v>4325</v>
      </c>
      <c r="J1135">
        <v>7130</v>
      </c>
      <c r="K1135">
        <v>9241</v>
      </c>
      <c r="L1135">
        <v>10262</v>
      </c>
    </row>
    <row r="1136" spans="1:12" x14ac:dyDescent="0.2">
      <c r="A1136" t="s">
        <v>31</v>
      </c>
      <c r="B1136" t="s">
        <v>116</v>
      </c>
      <c r="C1136" t="s">
        <v>196</v>
      </c>
      <c r="D1136">
        <v>114542</v>
      </c>
      <c r="E1136">
        <v>111693</v>
      </c>
      <c r="F1136">
        <v>110718</v>
      </c>
      <c r="I1136">
        <v>10260</v>
      </c>
      <c r="J1136">
        <v>15269</v>
      </c>
      <c r="K1136">
        <v>17336</v>
      </c>
    </row>
    <row r="1137" spans="1:12" x14ac:dyDescent="0.2">
      <c r="A1137" t="s">
        <v>31</v>
      </c>
      <c r="B1137" t="s">
        <v>116</v>
      </c>
      <c r="C1137" t="s">
        <v>197</v>
      </c>
      <c r="D1137">
        <v>105090</v>
      </c>
      <c r="E1137">
        <v>99525</v>
      </c>
      <c r="I1137">
        <v>5702</v>
      </c>
      <c r="J1137">
        <v>8785</v>
      </c>
    </row>
    <row r="1138" spans="1:12" x14ac:dyDescent="0.2">
      <c r="A1138" t="s">
        <v>31</v>
      </c>
      <c r="B1138" t="s">
        <v>116</v>
      </c>
      <c r="C1138" t="s">
        <v>198</v>
      </c>
      <c r="D1138">
        <v>77736</v>
      </c>
      <c r="I1138">
        <v>3189</v>
      </c>
    </row>
    <row r="1139" spans="1:12" x14ac:dyDescent="0.2">
      <c r="A1139" t="s">
        <v>31</v>
      </c>
      <c r="B1139" t="s">
        <v>114</v>
      </c>
      <c r="C1139" t="s">
        <v>195</v>
      </c>
      <c r="D1139">
        <v>3074059</v>
      </c>
      <c r="E1139">
        <v>2920504</v>
      </c>
      <c r="F1139">
        <v>2811796</v>
      </c>
      <c r="G1139">
        <v>2755697</v>
      </c>
      <c r="I1139">
        <v>823504</v>
      </c>
      <c r="J1139">
        <v>1448860</v>
      </c>
      <c r="K1139">
        <v>1741709</v>
      </c>
      <c r="L1139">
        <v>1909338</v>
      </c>
    </row>
    <row r="1140" spans="1:12" x14ac:dyDescent="0.2">
      <c r="A1140" t="s">
        <v>31</v>
      </c>
      <c r="B1140" t="s">
        <v>114</v>
      </c>
      <c r="C1140" t="s">
        <v>196</v>
      </c>
      <c r="D1140">
        <v>3077741</v>
      </c>
      <c r="E1140">
        <v>2967941</v>
      </c>
      <c r="F1140">
        <v>2879652</v>
      </c>
      <c r="I1140">
        <v>771271</v>
      </c>
      <c r="J1140">
        <v>1350932</v>
      </c>
      <c r="K1140">
        <v>1644682</v>
      </c>
    </row>
    <row r="1141" spans="1:12" x14ac:dyDescent="0.2">
      <c r="A1141" t="s">
        <v>31</v>
      </c>
      <c r="B1141" t="s">
        <v>114</v>
      </c>
      <c r="C1141" t="s">
        <v>197</v>
      </c>
      <c r="D1141">
        <v>2808212</v>
      </c>
      <c r="E1141">
        <v>2710493</v>
      </c>
      <c r="I1141">
        <v>701235</v>
      </c>
      <c r="J1141">
        <v>1192504</v>
      </c>
    </row>
    <row r="1142" spans="1:12" x14ac:dyDescent="0.2">
      <c r="A1142" t="s">
        <v>31</v>
      </c>
      <c r="B1142" t="s">
        <v>114</v>
      </c>
      <c r="C1142" t="s">
        <v>198</v>
      </c>
      <c r="D1142">
        <v>2409210</v>
      </c>
      <c r="I1142">
        <v>529912</v>
      </c>
    </row>
    <row r="1143" spans="1:12" x14ac:dyDescent="0.2">
      <c r="A1143" t="s">
        <v>31</v>
      </c>
      <c r="B1143" t="s">
        <v>111</v>
      </c>
      <c r="C1143" t="s">
        <v>195</v>
      </c>
      <c r="D1143">
        <v>1984719</v>
      </c>
      <c r="E1143">
        <v>1983186</v>
      </c>
      <c r="F1143">
        <v>1983167</v>
      </c>
      <c r="G1143">
        <v>1982755</v>
      </c>
      <c r="I1143">
        <v>1926846</v>
      </c>
      <c r="J1143">
        <v>1953354</v>
      </c>
      <c r="K1143">
        <v>1954464</v>
      </c>
      <c r="L1143">
        <v>1954647</v>
      </c>
    </row>
    <row r="1144" spans="1:12" x14ac:dyDescent="0.2">
      <c r="A1144" t="s">
        <v>31</v>
      </c>
      <c r="B1144" t="s">
        <v>111</v>
      </c>
      <c r="C1144" t="s">
        <v>196</v>
      </c>
      <c r="D1144">
        <v>2599274</v>
      </c>
      <c r="E1144">
        <v>2596918</v>
      </c>
      <c r="F1144">
        <v>2596918</v>
      </c>
      <c r="I1144">
        <v>2529127</v>
      </c>
      <c r="J1144">
        <v>2550318</v>
      </c>
      <c r="K1144">
        <v>2552776</v>
      </c>
    </row>
    <row r="1145" spans="1:12" x14ac:dyDescent="0.2">
      <c r="A1145" t="s">
        <v>31</v>
      </c>
      <c r="B1145" t="s">
        <v>111</v>
      </c>
      <c r="C1145" t="s">
        <v>197</v>
      </c>
      <c r="D1145">
        <v>2619304</v>
      </c>
      <c r="E1145">
        <v>2616649</v>
      </c>
      <c r="I1145">
        <v>2556263</v>
      </c>
      <c r="J1145">
        <v>2581610</v>
      </c>
    </row>
    <row r="1146" spans="1:12" x14ac:dyDescent="0.2">
      <c r="A1146" t="s">
        <v>31</v>
      </c>
      <c r="B1146" t="s">
        <v>111</v>
      </c>
      <c r="C1146" t="s">
        <v>198</v>
      </c>
      <c r="D1146">
        <v>2063269</v>
      </c>
      <c r="I1146">
        <v>2003091</v>
      </c>
    </row>
    <row r="1147" spans="1:12" x14ac:dyDescent="0.2">
      <c r="A1147" t="s">
        <v>31</v>
      </c>
      <c r="B1147" t="s">
        <v>112</v>
      </c>
      <c r="C1147" t="s">
        <v>195</v>
      </c>
      <c r="D1147">
        <v>2002103</v>
      </c>
      <c r="E1147">
        <v>2001010</v>
      </c>
      <c r="F1147">
        <v>2000700</v>
      </c>
      <c r="G1147">
        <v>2000390</v>
      </c>
      <c r="I1147">
        <v>1984283</v>
      </c>
      <c r="J1147">
        <v>1986209</v>
      </c>
      <c r="K1147">
        <v>1986424</v>
      </c>
      <c r="L1147">
        <v>1986424</v>
      </c>
    </row>
    <row r="1148" spans="1:12" x14ac:dyDescent="0.2">
      <c r="A1148" t="s">
        <v>31</v>
      </c>
      <c r="B1148" t="s">
        <v>112</v>
      </c>
      <c r="C1148" t="s">
        <v>196</v>
      </c>
      <c r="D1148">
        <v>2393070</v>
      </c>
      <c r="E1148">
        <v>2391234</v>
      </c>
      <c r="F1148">
        <v>2390924</v>
      </c>
      <c r="I1148">
        <v>2374940</v>
      </c>
      <c r="J1148">
        <v>2375450</v>
      </c>
      <c r="K1148">
        <v>2375450</v>
      </c>
    </row>
    <row r="1149" spans="1:12" x14ac:dyDescent="0.2">
      <c r="A1149" t="s">
        <v>31</v>
      </c>
      <c r="B1149" t="s">
        <v>112</v>
      </c>
      <c r="C1149" t="s">
        <v>197</v>
      </c>
      <c r="D1149">
        <v>2507694</v>
      </c>
      <c r="E1149">
        <v>2506930</v>
      </c>
      <c r="I1149">
        <v>2493958</v>
      </c>
      <c r="J1149">
        <v>2495674</v>
      </c>
    </row>
    <row r="1150" spans="1:12" x14ac:dyDescent="0.2">
      <c r="A1150" t="s">
        <v>31</v>
      </c>
      <c r="B1150" t="s">
        <v>112</v>
      </c>
      <c r="C1150" t="s">
        <v>198</v>
      </c>
      <c r="D1150">
        <v>2372065</v>
      </c>
      <c r="I1150">
        <v>2352786</v>
      </c>
    </row>
    <row r="1151" spans="1:12" x14ac:dyDescent="0.2">
      <c r="A1151" t="s">
        <v>31</v>
      </c>
      <c r="B1151" t="s">
        <v>115</v>
      </c>
      <c r="C1151" t="s">
        <v>195</v>
      </c>
      <c r="D1151">
        <v>8268709</v>
      </c>
      <c r="E1151">
        <v>6549978</v>
      </c>
      <c r="F1151">
        <v>6119439</v>
      </c>
      <c r="G1151">
        <v>6035478</v>
      </c>
      <c r="I1151">
        <v>2815474</v>
      </c>
      <c r="J1151">
        <v>4526186</v>
      </c>
      <c r="K1151">
        <v>4948747</v>
      </c>
      <c r="L1151">
        <v>5102970</v>
      </c>
    </row>
    <row r="1152" spans="1:12" x14ac:dyDescent="0.2">
      <c r="A1152" t="s">
        <v>31</v>
      </c>
      <c r="B1152" t="s">
        <v>115</v>
      </c>
      <c r="C1152" t="s">
        <v>196</v>
      </c>
      <c r="D1152">
        <v>9106648</v>
      </c>
      <c r="E1152">
        <v>7263583</v>
      </c>
      <c r="F1152">
        <v>6922219</v>
      </c>
      <c r="I1152">
        <v>3477817</v>
      </c>
      <c r="J1152">
        <v>5048539</v>
      </c>
      <c r="K1152">
        <v>5543597</v>
      </c>
    </row>
    <row r="1153" spans="1:12" x14ac:dyDescent="0.2">
      <c r="A1153" t="s">
        <v>31</v>
      </c>
      <c r="B1153" t="s">
        <v>115</v>
      </c>
      <c r="C1153" t="s">
        <v>197</v>
      </c>
      <c r="D1153">
        <v>8747886</v>
      </c>
      <c r="E1153">
        <v>7252496</v>
      </c>
      <c r="I1153">
        <v>2847569</v>
      </c>
      <c r="J1153">
        <v>4630189</v>
      </c>
    </row>
    <row r="1154" spans="1:12" x14ac:dyDescent="0.2">
      <c r="A1154" t="s">
        <v>31</v>
      </c>
      <c r="B1154" t="s">
        <v>115</v>
      </c>
      <c r="C1154" t="s">
        <v>198</v>
      </c>
      <c r="D1154">
        <v>8422906</v>
      </c>
      <c r="I1154">
        <v>2678080</v>
      </c>
    </row>
    <row r="1155" spans="1:12" x14ac:dyDescent="0.2">
      <c r="A1155" t="s">
        <v>31</v>
      </c>
      <c r="B1155" t="s">
        <v>113</v>
      </c>
      <c r="C1155" t="s">
        <v>195</v>
      </c>
      <c r="D1155">
        <v>293353</v>
      </c>
      <c r="E1155">
        <v>292743</v>
      </c>
      <c r="F1155">
        <v>292743</v>
      </c>
      <c r="G1155">
        <v>292743</v>
      </c>
      <c r="I1155">
        <v>284660</v>
      </c>
      <c r="J1155">
        <v>287316</v>
      </c>
      <c r="K1155">
        <v>287736</v>
      </c>
      <c r="L1155">
        <v>288359</v>
      </c>
    </row>
    <row r="1156" spans="1:12" x14ac:dyDescent="0.2">
      <c r="A1156" t="s">
        <v>31</v>
      </c>
      <c r="B1156" t="s">
        <v>113</v>
      </c>
      <c r="C1156" t="s">
        <v>196</v>
      </c>
      <c r="D1156">
        <v>316391</v>
      </c>
      <c r="E1156">
        <v>313863</v>
      </c>
      <c r="F1156">
        <v>313863</v>
      </c>
      <c r="I1156">
        <v>306043</v>
      </c>
      <c r="J1156">
        <v>308351</v>
      </c>
      <c r="K1156">
        <v>308876</v>
      </c>
    </row>
    <row r="1157" spans="1:12" x14ac:dyDescent="0.2">
      <c r="A1157" t="s">
        <v>31</v>
      </c>
      <c r="B1157" t="s">
        <v>113</v>
      </c>
      <c r="C1157" t="s">
        <v>197</v>
      </c>
      <c r="D1157">
        <v>310663</v>
      </c>
      <c r="E1157">
        <v>309197</v>
      </c>
      <c r="I1157">
        <v>297754</v>
      </c>
      <c r="J1157">
        <v>299712</v>
      </c>
    </row>
    <row r="1158" spans="1:12" x14ac:dyDescent="0.2">
      <c r="A1158" t="s">
        <v>31</v>
      </c>
      <c r="B1158" t="s">
        <v>113</v>
      </c>
      <c r="C1158" t="s">
        <v>198</v>
      </c>
      <c r="D1158">
        <v>304398</v>
      </c>
      <c r="I1158">
        <v>295593</v>
      </c>
    </row>
    <row r="1159" spans="1:12" x14ac:dyDescent="0.2">
      <c r="A1159" t="s">
        <v>31</v>
      </c>
      <c r="B1159" t="s">
        <v>72</v>
      </c>
      <c r="C1159" t="s">
        <v>195</v>
      </c>
      <c r="D1159">
        <v>705544</v>
      </c>
      <c r="E1159">
        <v>698916</v>
      </c>
      <c r="F1159">
        <v>697906</v>
      </c>
      <c r="G1159">
        <v>697880</v>
      </c>
      <c r="I1159">
        <v>672221</v>
      </c>
      <c r="J1159">
        <v>678308</v>
      </c>
      <c r="K1159">
        <v>678409</v>
      </c>
      <c r="L1159">
        <v>679122</v>
      </c>
    </row>
    <row r="1160" spans="1:12" x14ac:dyDescent="0.2">
      <c r="A1160" t="s">
        <v>31</v>
      </c>
      <c r="B1160" t="s">
        <v>72</v>
      </c>
      <c r="C1160" t="s">
        <v>196</v>
      </c>
      <c r="D1160">
        <v>770383</v>
      </c>
      <c r="E1160">
        <v>758567</v>
      </c>
      <c r="F1160">
        <v>757312</v>
      </c>
      <c r="I1160">
        <v>726674</v>
      </c>
      <c r="J1160">
        <v>731487</v>
      </c>
      <c r="K1160">
        <v>731803</v>
      </c>
    </row>
    <row r="1161" spans="1:12" x14ac:dyDescent="0.2">
      <c r="A1161" t="s">
        <v>31</v>
      </c>
      <c r="B1161" t="s">
        <v>72</v>
      </c>
      <c r="C1161" t="s">
        <v>197</v>
      </c>
      <c r="D1161">
        <v>784430</v>
      </c>
      <c r="E1161">
        <v>779315</v>
      </c>
      <c r="I1161">
        <v>747010</v>
      </c>
      <c r="J1161">
        <v>751835</v>
      </c>
    </row>
    <row r="1162" spans="1:12" x14ac:dyDescent="0.2">
      <c r="A1162" t="s">
        <v>31</v>
      </c>
      <c r="B1162" t="s">
        <v>72</v>
      </c>
      <c r="C1162" t="s">
        <v>198</v>
      </c>
      <c r="D1162">
        <v>684208</v>
      </c>
      <c r="I1162">
        <v>646742</v>
      </c>
    </row>
    <row r="1163" spans="1:12" x14ac:dyDescent="0.2">
      <c r="A1163" t="s">
        <v>32</v>
      </c>
      <c r="B1163" t="s">
        <v>109</v>
      </c>
      <c r="C1163" t="s">
        <v>195</v>
      </c>
      <c r="D1163">
        <v>183063</v>
      </c>
      <c r="E1163">
        <v>182963</v>
      </c>
      <c r="F1163">
        <v>182963</v>
      </c>
      <c r="G1163">
        <v>182963</v>
      </c>
      <c r="I1163">
        <v>6051.85</v>
      </c>
      <c r="J1163">
        <v>10211.67</v>
      </c>
      <c r="K1163">
        <v>12701.8</v>
      </c>
      <c r="L1163">
        <v>16700.34</v>
      </c>
    </row>
    <row r="1164" spans="1:12" x14ac:dyDescent="0.2">
      <c r="A1164" t="s">
        <v>32</v>
      </c>
      <c r="B1164" t="s">
        <v>109</v>
      </c>
      <c r="C1164" t="s">
        <v>196</v>
      </c>
      <c r="D1164">
        <v>308677.5</v>
      </c>
      <c r="E1164">
        <v>308677.5</v>
      </c>
      <c r="F1164">
        <v>308677.5</v>
      </c>
      <c r="I1164">
        <v>983.58</v>
      </c>
      <c r="J1164">
        <v>4767.1099999999997</v>
      </c>
      <c r="K1164">
        <v>7892.72</v>
      </c>
    </row>
    <row r="1165" spans="1:12" x14ac:dyDescent="0.2">
      <c r="A1165" t="s">
        <v>32</v>
      </c>
      <c r="B1165" t="s">
        <v>109</v>
      </c>
      <c r="C1165" t="s">
        <v>197</v>
      </c>
      <c r="D1165">
        <v>189952.75</v>
      </c>
      <c r="E1165">
        <v>190202.75</v>
      </c>
      <c r="I1165">
        <v>4023.72</v>
      </c>
      <c r="J1165">
        <v>11116.3</v>
      </c>
    </row>
    <row r="1166" spans="1:12" x14ac:dyDescent="0.2">
      <c r="A1166" t="s">
        <v>32</v>
      </c>
      <c r="B1166" t="s">
        <v>109</v>
      </c>
      <c r="C1166" t="s">
        <v>198</v>
      </c>
      <c r="D1166">
        <v>459231.25</v>
      </c>
      <c r="I1166">
        <v>4388.53</v>
      </c>
    </row>
    <row r="1167" spans="1:12" x14ac:dyDescent="0.2">
      <c r="A1167" t="s">
        <v>32</v>
      </c>
      <c r="B1167" t="s">
        <v>145</v>
      </c>
      <c r="C1167" t="s">
        <v>195</v>
      </c>
      <c r="D1167">
        <v>0</v>
      </c>
      <c r="E1167">
        <v>0</v>
      </c>
      <c r="F1167">
        <v>0</v>
      </c>
      <c r="G1167">
        <v>0</v>
      </c>
      <c r="I1167">
        <v>0</v>
      </c>
      <c r="J1167">
        <v>0</v>
      </c>
      <c r="K1167">
        <v>0</v>
      </c>
      <c r="L1167">
        <v>0</v>
      </c>
    </row>
    <row r="1168" spans="1:12" x14ac:dyDescent="0.2">
      <c r="A1168" t="s">
        <v>32</v>
      </c>
      <c r="B1168" t="s">
        <v>145</v>
      </c>
      <c r="C1168" t="s">
        <v>196</v>
      </c>
      <c r="D1168">
        <v>106236</v>
      </c>
      <c r="E1168">
        <v>106236</v>
      </c>
      <c r="F1168">
        <v>106236</v>
      </c>
      <c r="I1168">
        <v>0</v>
      </c>
      <c r="J1168">
        <v>0</v>
      </c>
      <c r="K1168">
        <v>0</v>
      </c>
    </row>
    <row r="1169" spans="1:12" x14ac:dyDescent="0.2">
      <c r="A1169" t="s">
        <v>32</v>
      </c>
      <c r="B1169" t="s">
        <v>145</v>
      </c>
      <c r="C1169" t="s">
        <v>197</v>
      </c>
      <c r="D1169">
        <v>0</v>
      </c>
      <c r="E1169">
        <v>0</v>
      </c>
      <c r="I1169">
        <v>0</v>
      </c>
      <c r="J1169">
        <v>0</v>
      </c>
    </row>
    <row r="1170" spans="1:12" x14ac:dyDescent="0.2">
      <c r="A1170" t="s">
        <v>32</v>
      </c>
      <c r="B1170" t="s">
        <v>145</v>
      </c>
      <c r="C1170" t="s">
        <v>198</v>
      </c>
      <c r="D1170">
        <v>0</v>
      </c>
      <c r="I1170">
        <v>0</v>
      </c>
    </row>
    <row r="1171" spans="1:12" x14ac:dyDescent="0.2">
      <c r="A1171" t="s">
        <v>32</v>
      </c>
      <c r="B1171" t="s">
        <v>110</v>
      </c>
      <c r="C1171" t="s">
        <v>195</v>
      </c>
      <c r="D1171">
        <v>45516.6</v>
      </c>
      <c r="E1171">
        <v>45516.6</v>
      </c>
      <c r="F1171">
        <v>45516.6</v>
      </c>
      <c r="G1171">
        <v>45516.6</v>
      </c>
      <c r="I1171">
        <v>7698.17</v>
      </c>
      <c r="J1171">
        <v>18159.82</v>
      </c>
      <c r="K1171">
        <v>21566.09</v>
      </c>
      <c r="L1171">
        <v>24062.95</v>
      </c>
    </row>
    <row r="1172" spans="1:12" x14ac:dyDescent="0.2">
      <c r="A1172" t="s">
        <v>32</v>
      </c>
      <c r="B1172" t="s">
        <v>110</v>
      </c>
      <c r="C1172" t="s">
        <v>196</v>
      </c>
      <c r="D1172">
        <v>44994.879999999997</v>
      </c>
      <c r="E1172">
        <v>44994.879999999997</v>
      </c>
      <c r="F1172">
        <v>44994.879999999997</v>
      </c>
      <c r="I1172">
        <v>13479.2</v>
      </c>
      <c r="J1172">
        <v>20969.45</v>
      </c>
      <c r="K1172">
        <v>23110.95</v>
      </c>
    </row>
    <row r="1173" spans="1:12" x14ac:dyDescent="0.2">
      <c r="A1173" t="s">
        <v>32</v>
      </c>
      <c r="B1173" t="s">
        <v>110</v>
      </c>
      <c r="C1173" t="s">
        <v>197</v>
      </c>
      <c r="D1173">
        <v>53702.2</v>
      </c>
      <c r="E1173">
        <v>53632.2</v>
      </c>
      <c r="I1173">
        <v>8153.65</v>
      </c>
      <c r="J1173">
        <v>16278.12</v>
      </c>
    </row>
    <row r="1174" spans="1:12" x14ac:dyDescent="0.2">
      <c r="A1174" t="s">
        <v>32</v>
      </c>
      <c r="B1174" t="s">
        <v>110</v>
      </c>
      <c r="C1174" t="s">
        <v>198</v>
      </c>
      <c r="D1174">
        <v>53366.5</v>
      </c>
      <c r="I1174">
        <v>8002.25</v>
      </c>
    </row>
    <row r="1175" spans="1:12" x14ac:dyDescent="0.2">
      <c r="A1175" t="s">
        <v>32</v>
      </c>
      <c r="B1175" t="s">
        <v>116</v>
      </c>
      <c r="C1175" t="s">
        <v>195</v>
      </c>
      <c r="D1175">
        <v>213</v>
      </c>
      <c r="E1175">
        <v>213</v>
      </c>
      <c r="F1175">
        <v>213</v>
      </c>
      <c r="G1175">
        <v>213</v>
      </c>
      <c r="I1175">
        <v>0</v>
      </c>
      <c r="J1175">
        <v>0</v>
      </c>
      <c r="K1175">
        <v>0</v>
      </c>
      <c r="L1175">
        <v>0</v>
      </c>
    </row>
    <row r="1176" spans="1:12" x14ac:dyDescent="0.2">
      <c r="A1176" t="s">
        <v>32</v>
      </c>
      <c r="B1176" t="s">
        <v>116</v>
      </c>
      <c r="C1176" t="s">
        <v>196</v>
      </c>
      <c r="D1176">
        <v>278.5</v>
      </c>
      <c r="E1176">
        <v>278.5</v>
      </c>
      <c r="F1176">
        <v>278.5</v>
      </c>
      <c r="I1176">
        <v>3.5</v>
      </c>
      <c r="J1176">
        <v>3.5</v>
      </c>
      <c r="K1176">
        <v>3.5</v>
      </c>
    </row>
    <row r="1177" spans="1:12" x14ac:dyDescent="0.2">
      <c r="A1177" t="s">
        <v>32</v>
      </c>
      <c r="B1177" t="s">
        <v>116</v>
      </c>
      <c r="C1177" t="s">
        <v>197</v>
      </c>
      <c r="D1177">
        <v>0</v>
      </c>
      <c r="E1177">
        <v>0</v>
      </c>
      <c r="I1177">
        <v>0</v>
      </c>
      <c r="J1177">
        <v>0</v>
      </c>
    </row>
    <row r="1178" spans="1:12" x14ac:dyDescent="0.2">
      <c r="A1178" t="s">
        <v>32</v>
      </c>
      <c r="B1178" t="s">
        <v>116</v>
      </c>
      <c r="C1178" t="s">
        <v>198</v>
      </c>
      <c r="D1178">
        <v>258</v>
      </c>
      <c r="I1178">
        <v>20</v>
      </c>
    </row>
    <row r="1179" spans="1:12" x14ac:dyDescent="0.2">
      <c r="A1179" t="s">
        <v>32</v>
      </c>
      <c r="B1179" t="s">
        <v>114</v>
      </c>
      <c r="C1179" t="s">
        <v>195</v>
      </c>
      <c r="D1179">
        <v>20822.919999999998</v>
      </c>
      <c r="E1179">
        <v>20822.919999999998</v>
      </c>
      <c r="F1179">
        <v>20822.919999999998</v>
      </c>
      <c r="G1179">
        <v>20822.919999999998</v>
      </c>
      <c r="I1179">
        <v>6330.37</v>
      </c>
      <c r="J1179">
        <v>10140.36</v>
      </c>
      <c r="K1179">
        <v>12698.62</v>
      </c>
      <c r="L1179">
        <v>13505.62</v>
      </c>
    </row>
    <row r="1180" spans="1:12" x14ac:dyDescent="0.2">
      <c r="A1180" t="s">
        <v>32</v>
      </c>
      <c r="B1180" t="s">
        <v>114</v>
      </c>
      <c r="C1180" t="s">
        <v>196</v>
      </c>
      <c r="D1180">
        <v>25056.25</v>
      </c>
      <c r="E1180">
        <v>25056.25</v>
      </c>
      <c r="F1180">
        <v>25056.25</v>
      </c>
      <c r="I1180">
        <v>7482.3</v>
      </c>
      <c r="J1180">
        <v>14118</v>
      </c>
      <c r="K1180">
        <v>15426.75</v>
      </c>
    </row>
    <row r="1181" spans="1:12" x14ac:dyDescent="0.2">
      <c r="A1181" t="s">
        <v>32</v>
      </c>
      <c r="B1181" t="s">
        <v>114</v>
      </c>
      <c r="C1181" t="s">
        <v>197</v>
      </c>
      <c r="D1181">
        <v>27161.75</v>
      </c>
      <c r="E1181">
        <v>27161.75</v>
      </c>
      <c r="I1181">
        <v>7484.3</v>
      </c>
      <c r="J1181">
        <v>11746.9</v>
      </c>
    </row>
    <row r="1182" spans="1:12" x14ac:dyDescent="0.2">
      <c r="A1182" t="s">
        <v>32</v>
      </c>
      <c r="B1182" t="s">
        <v>114</v>
      </c>
      <c r="C1182" t="s">
        <v>198</v>
      </c>
      <c r="D1182">
        <v>122487.22</v>
      </c>
      <c r="I1182">
        <v>121287.22</v>
      </c>
    </row>
    <row r="1183" spans="1:12" x14ac:dyDescent="0.2">
      <c r="A1183" t="s">
        <v>32</v>
      </c>
      <c r="B1183" t="s">
        <v>111</v>
      </c>
      <c r="C1183" t="s">
        <v>195</v>
      </c>
      <c r="D1183">
        <v>52776.42</v>
      </c>
      <c r="E1183">
        <v>52776.42</v>
      </c>
      <c r="F1183">
        <v>52776.42</v>
      </c>
      <c r="G1183">
        <v>52776.42</v>
      </c>
      <c r="I1183">
        <v>52776.42</v>
      </c>
      <c r="J1183">
        <v>52776.42</v>
      </c>
      <c r="K1183">
        <v>52776.42</v>
      </c>
      <c r="L1183">
        <v>52776.42</v>
      </c>
    </row>
    <row r="1184" spans="1:12" x14ac:dyDescent="0.2">
      <c r="A1184" t="s">
        <v>32</v>
      </c>
      <c r="B1184" t="s">
        <v>111</v>
      </c>
      <c r="C1184" t="s">
        <v>196</v>
      </c>
      <c r="D1184">
        <v>15184</v>
      </c>
      <c r="E1184">
        <v>15184</v>
      </c>
      <c r="F1184">
        <v>15184</v>
      </c>
      <c r="I1184">
        <v>15184</v>
      </c>
      <c r="J1184">
        <v>15184</v>
      </c>
      <c r="K1184">
        <v>15184</v>
      </c>
    </row>
    <row r="1185" spans="1:12" x14ac:dyDescent="0.2">
      <c r="A1185" t="s">
        <v>32</v>
      </c>
      <c r="B1185" t="s">
        <v>111</v>
      </c>
      <c r="C1185" t="s">
        <v>197</v>
      </c>
      <c r="D1185">
        <v>13546</v>
      </c>
      <c r="E1185">
        <v>13546</v>
      </c>
      <c r="I1185">
        <v>13146</v>
      </c>
      <c r="J1185">
        <v>13146</v>
      </c>
    </row>
    <row r="1186" spans="1:12" x14ac:dyDescent="0.2">
      <c r="A1186" t="s">
        <v>32</v>
      </c>
      <c r="B1186" t="s">
        <v>111</v>
      </c>
      <c r="C1186" t="s">
        <v>198</v>
      </c>
      <c r="D1186">
        <v>122487.22</v>
      </c>
      <c r="I1186">
        <v>121287.22</v>
      </c>
    </row>
    <row r="1187" spans="1:12" x14ac:dyDescent="0.2">
      <c r="A1187" t="s">
        <v>32</v>
      </c>
      <c r="B1187" t="s">
        <v>112</v>
      </c>
      <c r="C1187" t="s">
        <v>195</v>
      </c>
      <c r="D1187">
        <v>12921.66</v>
      </c>
      <c r="E1187">
        <v>12921.66</v>
      </c>
      <c r="F1187">
        <v>12921.66</v>
      </c>
      <c r="G1187">
        <v>12921.66</v>
      </c>
      <c r="I1187">
        <v>12726.66</v>
      </c>
      <c r="J1187">
        <v>12726.66</v>
      </c>
      <c r="K1187">
        <v>12726.66</v>
      </c>
      <c r="L1187">
        <v>12726.66</v>
      </c>
    </row>
    <row r="1188" spans="1:12" x14ac:dyDescent="0.2">
      <c r="A1188" t="s">
        <v>32</v>
      </c>
      <c r="B1188" t="s">
        <v>112</v>
      </c>
      <c r="C1188" t="s">
        <v>196</v>
      </c>
      <c r="D1188">
        <v>15631.88</v>
      </c>
      <c r="E1188">
        <v>15631.88</v>
      </c>
      <c r="F1188">
        <v>15631.88</v>
      </c>
      <c r="I1188">
        <v>15631.88</v>
      </c>
      <c r="J1188">
        <v>15631.88</v>
      </c>
      <c r="K1188">
        <v>15631.88</v>
      </c>
    </row>
    <row r="1189" spans="1:12" x14ac:dyDescent="0.2">
      <c r="A1189" t="s">
        <v>32</v>
      </c>
      <c r="B1189" t="s">
        <v>112</v>
      </c>
      <c r="C1189" t="s">
        <v>197</v>
      </c>
      <c r="D1189">
        <v>16794.75</v>
      </c>
      <c r="E1189">
        <v>16794.75</v>
      </c>
      <c r="I1189">
        <v>16289.75</v>
      </c>
      <c r="J1189">
        <v>16599.75</v>
      </c>
    </row>
    <row r="1190" spans="1:12" x14ac:dyDescent="0.2">
      <c r="A1190" t="s">
        <v>32</v>
      </c>
      <c r="B1190" t="s">
        <v>112</v>
      </c>
      <c r="C1190" t="s">
        <v>198</v>
      </c>
      <c r="D1190">
        <v>14766</v>
      </c>
      <c r="I1190">
        <v>14766</v>
      </c>
    </row>
    <row r="1191" spans="1:12" x14ac:dyDescent="0.2">
      <c r="A1191" t="s">
        <v>32</v>
      </c>
      <c r="B1191" t="s">
        <v>115</v>
      </c>
      <c r="C1191" t="s">
        <v>195</v>
      </c>
      <c r="D1191">
        <v>88497.55</v>
      </c>
      <c r="E1191">
        <v>86731.8</v>
      </c>
      <c r="F1191">
        <v>86466.05</v>
      </c>
      <c r="G1191">
        <v>86466.05</v>
      </c>
      <c r="I1191">
        <v>37081.74</v>
      </c>
      <c r="J1191">
        <v>69321.399999999994</v>
      </c>
      <c r="K1191">
        <v>71924.399999999994</v>
      </c>
      <c r="L1191">
        <v>73373.06</v>
      </c>
    </row>
    <row r="1192" spans="1:12" x14ac:dyDescent="0.2">
      <c r="A1192" t="s">
        <v>32</v>
      </c>
      <c r="B1192" t="s">
        <v>115</v>
      </c>
      <c r="C1192" t="s">
        <v>196</v>
      </c>
      <c r="D1192">
        <v>121017.25</v>
      </c>
      <c r="E1192">
        <v>121117</v>
      </c>
      <c r="F1192">
        <v>121117</v>
      </c>
      <c r="I1192">
        <v>54987.59</v>
      </c>
      <c r="J1192">
        <v>97563.18</v>
      </c>
      <c r="K1192">
        <v>103853</v>
      </c>
    </row>
    <row r="1193" spans="1:12" x14ac:dyDescent="0.2">
      <c r="A1193" t="s">
        <v>32</v>
      </c>
      <c r="B1193" t="s">
        <v>115</v>
      </c>
      <c r="C1193" t="s">
        <v>197</v>
      </c>
      <c r="D1193">
        <v>129100.9</v>
      </c>
      <c r="E1193">
        <v>127343.55</v>
      </c>
      <c r="I1193">
        <v>65502.34</v>
      </c>
      <c r="J1193">
        <v>98896.58</v>
      </c>
    </row>
    <row r="1194" spans="1:12" x14ac:dyDescent="0.2">
      <c r="A1194" t="s">
        <v>32</v>
      </c>
      <c r="B1194" t="s">
        <v>115</v>
      </c>
      <c r="C1194" t="s">
        <v>198</v>
      </c>
      <c r="D1194">
        <v>115212.25</v>
      </c>
      <c r="I1194">
        <v>60375.360000000001</v>
      </c>
    </row>
    <row r="1195" spans="1:12" x14ac:dyDescent="0.2">
      <c r="A1195" t="s">
        <v>32</v>
      </c>
      <c r="B1195" t="s">
        <v>113</v>
      </c>
      <c r="C1195" t="s">
        <v>195</v>
      </c>
      <c r="D1195">
        <v>7424</v>
      </c>
      <c r="E1195">
        <v>7424</v>
      </c>
      <c r="F1195">
        <v>7424</v>
      </c>
      <c r="G1195">
        <v>7424</v>
      </c>
      <c r="I1195">
        <v>7424</v>
      </c>
      <c r="J1195">
        <v>7424</v>
      </c>
      <c r="K1195">
        <v>7424</v>
      </c>
      <c r="L1195">
        <v>7424</v>
      </c>
    </row>
    <row r="1196" spans="1:12" x14ac:dyDescent="0.2">
      <c r="A1196" t="s">
        <v>32</v>
      </c>
      <c r="B1196" t="s">
        <v>113</v>
      </c>
      <c r="C1196" t="s">
        <v>196</v>
      </c>
      <c r="D1196">
        <v>7050</v>
      </c>
      <c r="E1196">
        <v>7050</v>
      </c>
      <c r="F1196">
        <v>7050</v>
      </c>
      <c r="I1196">
        <v>7050</v>
      </c>
      <c r="J1196">
        <v>7050</v>
      </c>
      <c r="K1196">
        <v>7050</v>
      </c>
    </row>
    <row r="1197" spans="1:12" x14ac:dyDescent="0.2">
      <c r="A1197" t="s">
        <v>32</v>
      </c>
      <c r="B1197" t="s">
        <v>113</v>
      </c>
      <c r="C1197" t="s">
        <v>197</v>
      </c>
      <c r="D1197">
        <v>7355</v>
      </c>
      <c r="E1197">
        <v>7355</v>
      </c>
      <c r="I1197">
        <v>7124</v>
      </c>
      <c r="J1197">
        <v>7355</v>
      </c>
    </row>
    <row r="1198" spans="1:12" x14ac:dyDescent="0.2">
      <c r="A1198" t="s">
        <v>32</v>
      </c>
      <c r="B1198" t="s">
        <v>113</v>
      </c>
      <c r="C1198" t="s">
        <v>198</v>
      </c>
      <c r="D1198">
        <v>9881.6</v>
      </c>
      <c r="I1198">
        <v>9881.6</v>
      </c>
    </row>
    <row r="1199" spans="1:12" x14ac:dyDescent="0.2">
      <c r="A1199" t="s">
        <v>32</v>
      </c>
      <c r="B1199" t="s">
        <v>72</v>
      </c>
      <c r="C1199" t="s">
        <v>195</v>
      </c>
      <c r="D1199">
        <v>12632</v>
      </c>
      <c r="E1199">
        <v>12632</v>
      </c>
      <c r="F1199">
        <v>12632</v>
      </c>
      <c r="G1199">
        <v>12632</v>
      </c>
      <c r="I1199">
        <v>11362</v>
      </c>
      <c r="J1199">
        <v>11682</v>
      </c>
      <c r="K1199">
        <v>11757</v>
      </c>
      <c r="L1199">
        <v>11832</v>
      </c>
    </row>
    <row r="1200" spans="1:12" x14ac:dyDescent="0.2">
      <c r="A1200" t="s">
        <v>32</v>
      </c>
      <c r="B1200" t="s">
        <v>72</v>
      </c>
      <c r="C1200" t="s">
        <v>196</v>
      </c>
      <c r="D1200">
        <v>18657.5</v>
      </c>
      <c r="E1200">
        <v>18657.5</v>
      </c>
      <c r="F1200">
        <v>18657.5</v>
      </c>
      <c r="I1200">
        <v>16391</v>
      </c>
      <c r="J1200">
        <v>16601</v>
      </c>
      <c r="K1200">
        <v>16774</v>
      </c>
    </row>
    <row r="1201" spans="1:12" x14ac:dyDescent="0.2">
      <c r="A1201" t="s">
        <v>32</v>
      </c>
      <c r="B1201" t="s">
        <v>72</v>
      </c>
      <c r="C1201" t="s">
        <v>197</v>
      </c>
      <c r="D1201">
        <v>19142</v>
      </c>
      <c r="E1201">
        <v>19142</v>
      </c>
      <c r="I1201">
        <v>17866</v>
      </c>
      <c r="J1201">
        <v>18284</v>
      </c>
    </row>
    <row r="1202" spans="1:12" x14ac:dyDescent="0.2">
      <c r="A1202" t="s">
        <v>32</v>
      </c>
      <c r="B1202" t="s">
        <v>72</v>
      </c>
      <c r="C1202" t="s">
        <v>198</v>
      </c>
      <c r="D1202">
        <v>15473.73</v>
      </c>
      <c r="I1202">
        <v>14070.73</v>
      </c>
    </row>
    <row r="1203" spans="1:12" x14ac:dyDescent="0.2">
      <c r="A1203" t="s">
        <v>33</v>
      </c>
      <c r="B1203" t="s">
        <v>109</v>
      </c>
      <c r="C1203" t="s">
        <v>195</v>
      </c>
      <c r="D1203">
        <v>310413.25</v>
      </c>
      <c r="E1203">
        <v>309581.75</v>
      </c>
      <c r="F1203">
        <v>308341.75</v>
      </c>
      <c r="G1203">
        <v>308165.75</v>
      </c>
      <c r="I1203">
        <v>13082.83</v>
      </c>
      <c r="J1203">
        <v>25646.79</v>
      </c>
      <c r="K1203">
        <v>34750.39</v>
      </c>
      <c r="L1203">
        <v>39937.94</v>
      </c>
    </row>
    <row r="1204" spans="1:12" x14ac:dyDescent="0.2">
      <c r="A1204" t="s">
        <v>33</v>
      </c>
      <c r="B1204" t="s">
        <v>109</v>
      </c>
      <c r="C1204" t="s">
        <v>196</v>
      </c>
      <c r="D1204">
        <v>1014554.28</v>
      </c>
      <c r="E1204">
        <v>1018959.73</v>
      </c>
      <c r="F1204">
        <v>1017586.08</v>
      </c>
      <c r="I1204">
        <v>18870.45</v>
      </c>
      <c r="J1204">
        <v>31759.29</v>
      </c>
      <c r="K1204">
        <v>37019.449999999997</v>
      </c>
    </row>
    <row r="1205" spans="1:12" x14ac:dyDescent="0.2">
      <c r="A1205" t="s">
        <v>33</v>
      </c>
      <c r="B1205" t="s">
        <v>109</v>
      </c>
      <c r="C1205" t="s">
        <v>197</v>
      </c>
      <c r="D1205">
        <v>441047.54</v>
      </c>
      <c r="E1205">
        <v>436714.54</v>
      </c>
      <c r="I1205">
        <v>12730.65</v>
      </c>
      <c r="J1205">
        <v>23171.22</v>
      </c>
    </row>
    <row r="1206" spans="1:12" x14ac:dyDescent="0.2">
      <c r="A1206" t="s">
        <v>33</v>
      </c>
      <c r="B1206" t="s">
        <v>109</v>
      </c>
      <c r="C1206" t="s">
        <v>198</v>
      </c>
      <c r="D1206">
        <v>419152.98</v>
      </c>
      <c r="I1206">
        <v>14464.8</v>
      </c>
    </row>
    <row r="1207" spans="1:12" x14ac:dyDescent="0.2">
      <c r="A1207" t="s">
        <v>33</v>
      </c>
      <c r="B1207" t="s">
        <v>145</v>
      </c>
      <c r="C1207" t="s">
        <v>195</v>
      </c>
      <c r="D1207">
        <v>53956.02</v>
      </c>
      <c r="E1207">
        <v>53956.02</v>
      </c>
      <c r="F1207">
        <v>53956.02</v>
      </c>
      <c r="G1207">
        <v>53956.02</v>
      </c>
      <c r="I1207">
        <v>562.52</v>
      </c>
      <c r="J1207">
        <v>562.52</v>
      </c>
      <c r="K1207">
        <v>562.52</v>
      </c>
      <c r="L1207">
        <v>562.52</v>
      </c>
    </row>
    <row r="1208" spans="1:12" x14ac:dyDescent="0.2">
      <c r="A1208" t="s">
        <v>33</v>
      </c>
      <c r="B1208" t="s">
        <v>145</v>
      </c>
      <c r="C1208" t="s">
        <v>196</v>
      </c>
      <c r="D1208">
        <v>152988.25</v>
      </c>
      <c r="E1208">
        <v>152988.25</v>
      </c>
      <c r="F1208">
        <v>152988.25</v>
      </c>
      <c r="I1208">
        <v>330.45</v>
      </c>
      <c r="J1208">
        <v>7349.67</v>
      </c>
      <c r="K1208">
        <v>7541.97</v>
      </c>
    </row>
    <row r="1209" spans="1:12" x14ac:dyDescent="0.2">
      <c r="A1209" t="s">
        <v>33</v>
      </c>
      <c r="B1209" t="s">
        <v>145</v>
      </c>
      <c r="C1209" t="s">
        <v>197</v>
      </c>
      <c r="D1209">
        <v>107356.48</v>
      </c>
      <c r="E1209">
        <v>107356.48</v>
      </c>
      <c r="I1209">
        <v>11.98</v>
      </c>
      <c r="J1209">
        <v>11.98</v>
      </c>
    </row>
    <row r="1210" spans="1:12" x14ac:dyDescent="0.2">
      <c r="A1210" t="s">
        <v>33</v>
      </c>
      <c r="B1210" t="s">
        <v>145</v>
      </c>
      <c r="C1210" t="s">
        <v>198</v>
      </c>
      <c r="D1210">
        <v>107160.5</v>
      </c>
      <c r="I1210">
        <v>0</v>
      </c>
    </row>
    <row r="1211" spans="1:12" x14ac:dyDescent="0.2">
      <c r="A1211" t="s">
        <v>33</v>
      </c>
      <c r="B1211" t="s">
        <v>110</v>
      </c>
      <c r="C1211" t="s">
        <v>195</v>
      </c>
      <c r="D1211">
        <v>172379.48</v>
      </c>
      <c r="E1211">
        <v>170539.84</v>
      </c>
      <c r="F1211">
        <v>170395.38</v>
      </c>
      <c r="G1211">
        <v>166933.54999999999</v>
      </c>
      <c r="I1211">
        <v>51471.87</v>
      </c>
      <c r="J1211">
        <v>74211.98</v>
      </c>
      <c r="K1211">
        <v>87725.119999999995</v>
      </c>
      <c r="L1211">
        <v>91914.05</v>
      </c>
    </row>
    <row r="1212" spans="1:12" x14ac:dyDescent="0.2">
      <c r="A1212" t="s">
        <v>33</v>
      </c>
      <c r="B1212" t="s">
        <v>110</v>
      </c>
      <c r="C1212" t="s">
        <v>196</v>
      </c>
      <c r="D1212">
        <v>223932.88</v>
      </c>
      <c r="E1212">
        <v>218816.49</v>
      </c>
      <c r="F1212">
        <v>218514.43</v>
      </c>
      <c r="I1212">
        <v>70936.95</v>
      </c>
      <c r="J1212">
        <v>96434.41</v>
      </c>
      <c r="K1212">
        <v>106481.82</v>
      </c>
    </row>
    <row r="1213" spans="1:12" x14ac:dyDescent="0.2">
      <c r="A1213" t="s">
        <v>33</v>
      </c>
      <c r="B1213" t="s">
        <v>110</v>
      </c>
      <c r="C1213" t="s">
        <v>197</v>
      </c>
      <c r="D1213">
        <v>187724.69</v>
      </c>
      <c r="E1213">
        <v>183161.62</v>
      </c>
      <c r="I1213">
        <v>47155.44</v>
      </c>
      <c r="J1213">
        <v>69514.850000000006</v>
      </c>
    </row>
    <row r="1214" spans="1:12" x14ac:dyDescent="0.2">
      <c r="A1214" t="s">
        <v>33</v>
      </c>
      <c r="B1214" t="s">
        <v>110</v>
      </c>
      <c r="C1214" t="s">
        <v>198</v>
      </c>
      <c r="D1214">
        <v>203146.35</v>
      </c>
      <c r="I1214">
        <v>52534.8</v>
      </c>
    </row>
    <row r="1215" spans="1:12" x14ac:dyDescent="0.2">
      <c r="A1215" t="s">
        <v>33</v>
      </c>
      <c r="B1215" t="s">
        <v>116</v>
      </c>
      <c r="C1215" t="s">
        <v>195</v>
      </c>
      <c r="D1215">
        <v>44005.5</v>
      </c>
      <c r="E1215">
        <v>44299</v>
      </c>
      <c r="F1215">
        <v>44299</v>
      </c>
      <c r="G1215">
        <v>44559</v>
      </c>
      <c r="I1215">
        <v>3274.54</v>
      </c>
      <c r="J1215">
        <v>5237.9799999999996</v>
      </c>
      <c r="K1215">
        <v>7927.43</v>
      </c>
      <c r="L1215">
        <v>5420.18</v>
      </c>
    </row>
    <row r="1216" spans="1:12" x14ac:dyDescent="0.2">
      <c r="A1216" t="s">
        <v>33</v>
      </c>
      <c r="B1216" t="s">
        <v>116</v>
      </c>
      <c r="C1216" t="s">
        <v>196</v>
      </c>
      <c r="D1216">
        <v>43641.5</v>
      </c>
      <c r="E1216">
        <v>34598.5</v>
      </c>
      <c r="F1216">
        <v>33618.5</v>
      </c>
      <c r="I1216">
        <v>4193.67</v>
      </c>
      <c r="J1216">
        <v>7636.23</v>
      </c>
      <c r="K1216">
        <v>9087.9500000000007</v>
      </c>
    </row>
    <row r="1217" spans="1:12" x14ac:dyDescent="0.2">
      <c r="A1217" t="s">
        <v>33</v>
      </c>
      <c r="B1217" t="s">
        <v>116</v>
      </c>
      <c r="C1217" t="s">
        <v>197</v>
      </c>
      <c r="D1217">
        <v>51363</v>
      </c>
      <c r="E1217">
        <v>50145.5</v>
      </c>
      <c r="I1217">
        <v>8747.1200000000008</v>
      </c>
      <c r="J1217">
        <v>11581.67</v>
      </c>
    </row>
    <row r="1218" spans="1:12" x14ac:dyDescent="0.2">
      <c r="A1218" t="s">
        <v>33</v>
      </c>
      <c r="B1218" t="s">
        <v>116</v>
      </c>
      <c r="C1218" t="s">
        <v>198</v>
      </c>
      <c r="D1218">
        <v>25122</v>
      </c>
      <c r="I1218">
        <v>2162.9499999999998</v>
      </c>
    </row>
    <row r="1219" spans="1:12" x14ac:dyDescent="0.2">
      <c r="A1219" t="s">
        <v>33</v>
      </c>
      <c r="B1219" t="s">
        <v>114</v>
      </c>
      <c r="C1219" t="s">
        <v>195</v>
      </c>
      <c r="D1219">
        <v>206052.25</v>
      </c>
      <c r="E1219">
        <v>200900.07</v>
      </c>
      <c r="F1219">
        <v>200506.11</v>
      </c>
      <c r="G1219">
        <v>200308.63</v>
      </c>
      <c r="I1219">
        <v>77984.52</v>
      </c>
      <c r="J1219">
        <v>117654.08</v>
      </c>
      <c r="K1219">
        <v>134561.68</v>
      </c>
      <c r="L1219">
        <v>143920.57999999999</v>
      </c>
    </row>
    <row r="1220" spans="1:12" x14ac:dyDescent="0.2">
      <c r="A1220" t="s">
        <v>33</v>
      </c>
      <c r="B1220" t="s">
        <v>114</v>
      </c>
      <c r="C1220" t="s">
        <v>196</v>
      </c>
      <c r="D1220">
        <v>221481.2</v>
      </c>
      <c r="E1220">
        <v>218137.57</v>
      </c>
      <c r="F1220">
        <v>217225.33</v>
      </c>
      <c r="I1220">
        <v>81113.23</v>
      </c>
      <c r="J1220">
        <v>113847.2</v>
      </c>
      <c r="K1220">
        <v>137152.43</v>
      </c>
    </row>
    <row r="1221" spans="1:12" x14ac:dyDescent="0.2">
      <c r="A1221" t="s">
        <v>33</v>
      </c>
      <c r="B1221" t="s">
        <v>114</v>
      </c>
      <c r="C1221" t="s">
        <v>197</v>
      </c>
      <c r="D1221">
        <v>212294.54</v>
      </c>
      <c r="E1221">
        <v>211570.89</v>
      </c>
      <c r="I1221">
        <v>84548.47</v>
      </c>
      <c r="J1221">
        <v>108149.35</v>
      </c>
    </row>
    <row r="1222" spans="1:12" x14ac:dyDescent="0.2">
      <c r="A1222" t="s">
        <v>33</v>
      </c>
      <c r="B1222" t="s">
        <v>114</v>
      </c>
      <c r="C1222" t="s">
        <v>198</v>
      </c>
      <c r="D1222">
        <v>207186.71</v>
      </c>
      <c r="I1222">
        <v>75432.34</v>
      </c>
    </row>
    <row r="1223" spans="1:12" x14ac:dyDescent="0.2">
      <c r="A1223" t="s">
        <v>33</v>
      </c>
      <c r="B1223" t="s">
        <v>111</v>
      </c>
      <c r="C1223" t="s">
        <v>195</v>
      </c>
      <c r="D1223">
        <v>140213</v>
      </c>
      <c r="E1223">
        <v>140143</v>
      </c>
      <c r="F1223">
        <v>140374</v>
      </c>
      <c r="G1223">
        <v>140093</v>
      </c>
      <c r="I1223">
        <v>138548</v>
      </c>
      <c r="J1223">
        <v>139673</v>
      </c>
      <c r="K1223">
        <v>139954</v>
      </c>
      <c r="L1223">
        <v>139673</v>
      </c>
    </row>
    <row r="1224" spans="1:12" x14ac:dyDescent="0.2">
      <c r="A1224" t="s">
        <v>33</v>
      </c>
      <c r="B1224" t="s">
        <v>111</v>
      </c>
      <c r="C1224" t="s">
        <v>196</v>
      </c>
      <c r="D1224">
        <v>194041.85</v>
      </c>
      <c r="E1224">
        <v>194322.85</v>
      </c>
      <c r="F1224">
        <v>192736.85</v>
      </c>
      <c r="I1224">
        <v>187836.03</v>
      </c>
      <c r="J1224">
        <v>192965.85</v>
      </c>
      <c r="K1224">
        <v>192684.85</v>
      </c>
    </row>
    <row r="1225" spans="1:12" x14ac:dyDescent="0.2">
      <c r="A1225" t="s">
        <v>33</v>
      </c>
      <c r="B1225" t="s">
        <v>111</v>
      </c>
      <c r="C1225" t="s">
        <v>197</v>
      </c>
      <c r="D1225">
        <v>218321.5</v>
      </c>
      <c r="E1225">
        <v>216931.5</v>
      </c>
      <c r="I1225">
        <v>202157.5</v>
      </c>
      <c r="J1225">
        <v>216136.5</v>
      </c>
    </row>
    <row r="1226" spans="1:12" x14ac:dyDescent="0.2">
      <c r="A1226" t="s">
        <v>33</v>
      </c>
      <c r="B1226" t="s">
        <v>111</v>
      </c>
      <c r="C1226" t="s">
        <v>198</v>
      </c>
      <c r="D1226">
        <v>173466.32</v>
      </c>
      <c r="I1226">
        <v>167642.32999999999</v>
      </c>
    </row>
    <row r="1227" spans="1:12" x14ac:dyDescent="0.2">
      <c r="A1227" t="s">
        <v>33</v>
      </c>
      <c r="B1227" t="s">
        <v>112</v>
      </c>
      <c r="C1227" t="s">
        <v>195</v>
      </c>
      <c r="D1227">
        <v>134863.96</v>
      </c>
      <c r="E1227">
        <v>134763.46</v>
      </c>
      <c r="F1227">
        <v>134763.46</v>
      </c>
      <c r="G1227">
        <v>134763.46</v>
      </c>
      <c r="I1227">
        <v>130193.33</v>
      </c>
      <c r="J1227">
        <v>134481.46</v>
      </c>
      <c r="K1227">
        <v>134482.46</v>
      </c>
      <c r="L1227">
        <v>134482.46</v>
      </c>
    </row>
    <row r="1228" spans="1:12" x14ac:dyDescent="0.2">
      <c r="A1228" t="s">
        <v>33</v>
      </c>
      <c r="B1228" t="s">
        <v>112</v>
      </c>
      <c r="C1228" t="s">
        <v>196</v>
      </c>
      <c r="D1228">
        <v>141904.99</v>
      </c>
      <c r="E1228">
        <v>141903.99</v>
      </c>
      <c r="F1228">
        <v>141718.99</v>
      </c>
      <c r="I1228">
        <v>138235.99</v>
      </c>
      <c r="J1228">
        <v>141718.99</v>
      </c>
      <c r="K1228">
        <v>141718.99</v>
      </c>
    </row>
    <row r="1229" spans="1:12" x14ac:dyDescent="0.2">
      <c r="A1229" t="s">
        <v>33</v>
      </c>
      <c r="B1229" t="s">
        <v>112</v>
      </c>
      <c r="C1229" t="s">
        <v>197</v>
      </c>
      <c r="D1229">
        <v>152373.68</v>
      </c>
      <c r="E1229">
        <v>152354.43</v>
      </c>
      <c r="I1229">
        <v>145678.43</v>
      </c>
      <c r="J1229">
        <v>152354.43</v>
      </c>
    </row>
    <row r="1230" spans="1:12" x14ac:dyDescent="0.2">
      <c r="A1230" t="s">
        <v>33</v>
      </c>
      <c r="B1230" t="s">
        <v>112</v>
      </c>
      <c r="C1230" t="s">
        <v>198</v>
      </c>
      <c r="D1230">
        <v>146388.03</v>
      </c>
      <c r="I1230">
        <v>138229.32999999999</v>
      </c>
    </row>
    <row r="1231" spans="1:12" x14ac:dyDescent="0.2">
      <c r="A1231" t="s">
        <v>33</v>
      </c>
      <c r="B1231" t="s">
        <v>115</v>
      </c>
      <c r="C1231" t="s">
        <v>195</v>
      </c>
      <c r="D1231">
        <v>612607.73</v>
      </c>
      <c r="E1231">
        <v>597969.03</v>
      </c>
      <c r="F1231">
        <v>597853.53</v>
      </c>
      <c r="G1231">
        <v>597853.53</v>
      </c>
      <c r="I1231">
        <v>336275.98</v>
      </c>
      <c r="J1231">
        <v>525498.68000000005</v>
      </c>
      <c r="K1231">
        <v>548593.56999999995</v>
      </c>
      <c r="L1231">
        <v>555316.38</v>
      </c>
    </row>
    <row r="1232" spans="1:12" x14ac:dyDescent="0.2">
      <c r="A1232" t="s">
        <v>33</v>
      </c>
      <c r="B1232" t="s">
        <v>115</v>
      </c>
      <c r="C1232" t="s">
        <v>196</v>
      </c>
      <c r="D1232">
        <v>658208.03</v>
      </c>
      <c r="E1232">
        <v>635273.81000000006</v>
      </c>
      <c r="F1232">
        <v>636564.31000000006</v>
      </c>
      <c r="I1232">
        <v>381036.79</v>
      </c>
      <c r="J1232">
        <v>555906.48</v>
      </c>
      <c r="K1232">
        <v>576705.30000000005</v>
      </c>
    </row>
    <row r="1233" spans="1:12" x14ac:dyDescent="0.2">
      <c r="A1233" t="s">
        <v>33</v>
      </c>
      <c r="B1233" t="s">
        <v>115</v>
      </c>
      <c r="C1233" t="s">
        <v>197</v>
      </c>
      <c r="D1233">
        <v>598998.73</v>
      </c>
      <c r="E1233">
        <v>586149.73</v>
      </c>
      <c r="I1233">
        <v>327036.89</v>
      </c>
      <c r="J1233">
        <v>488609.41</v>
      </c>
    </row>
    <row r="1234" spans="1:12" x14ac:dyDescent="0.2">
      <c r="A1234" t="s">
        <v>33</v>
      </c>
      <c r="B1234" t="s">
        <v>115</v>
      </c>
      <c r="C1234" t="s">
        <v>198</v>
      </c>
      <c r="D1234">
        <v>533516.9</v>
      </c>
      <c r="I1234">
        <v>294528.09000000003</v>
      </c>
    </row>
    <row r="1235" spans="1:12" x14ac:dyDescent="0.2">
      <c r="A1235" t="s">
        <v>33</v>
      </c>
      <c r="B1235" t="s">
        <v>113</v>
      </c>
      <c r="C1235" t="s">
        <v>195</v>
      </c>
      <c r="D1235">
        <v>65432</v>
      </c>
      <c r="E1235">
        <v>65432</v>
      </c>
      <c r="F1235">
        <v>65432</v>
      </c>
      <c r="G1235">
        <v>65432</v>
      </c>
      <c r="I1235">
        <v>64287</v>
      </c>
      <c r="J1235">
        <v>65432</v>
      </c>
      <c r="K1235">
        <v>65432</v>
      </c>
      <c r="L1235">
        <v>65432</v>
      </c>
    </row>
    <row r="1236" spans="1:12" x14ac:dyDescent="0.2">
      <c r="A1236" t="s">
        <v>33</v>
      </c>
      <c r="B1236" t="s">
        <v>113</v>
      </c>
      <c r="C1236" t="s">
        <v>196</v>
      </c>
      <c r="D1236">
        <v>86409.98</v>
      </c>
      <c r="E1236">
        <v>86003.98</v>
      </c>
      <c r="F1236">
        <v>86003.98</v>
      </c>
      <c r="I1236">
        <v>82583.5</v>
      </c>
      <c r="J1236">
        <v>86003.98</v>
      </c>
      <c r="K1236">
        <v>86003.98</v>
      </c>
    </row>
    <row r="1237" spans="1:12" x14ac:dyDescent="0.2">
      <c r="A1237" t="s">
        <v>33</v>
      </c>
      <c r="B1237" t="s">
        <v>113</v>
      </c>
      <c r="C1237" t="s">
        <v>197</v>
      </c>
      <c r="D1237">
        <v>84884</v>
      </c>
      <c r="E1237">
        <v>84253</v>
      </c>
      <c r="I1237">
        <v>82933</v>
      </c>
      <c r="J1237">
        <v>84253</v>
      </c>
    </row>
    <row r="1238" spans="1:12" x14ac:dyDescent="0.2">
      <c r="A1238" t="s">
        <v>33</v>
      </c>
      <c r="B1238" t="s">
        <v>113</v>
      </c>
      <c r="C1238" t="s">
        <v>198</v>
      </c>
      <c r="D1238">
        <v>76566</v>
      </c>
      <c r="I1238">
        <v>74627</v>
      </c>
    </row>
    <row r="1239" spans="1:12" x14ac:dyDescent="0.2">
      <c r="A1239" t="s">
        <v>33</v>
      </c>
      <c r="B1239" t="s">
        <v>72</v>
      </c>
      <c r="C1239" t="s">
        <v>195</v>
      </c>
      <c r="D1239">
        <v>83235.850000000006</v>
      </c>
      <c r="E1239">
        <v>82409.850000000006</v>
      </c>
      <c r="F1239">
        <v>82395.850000000006</v>
      </c>
      <c r="G1239">
        <v>80225.600000000006</v>
      </c>
      <c r="I1239">
        <v>74239.97</v>
      </c>
      <c r="J1239">
        <v>79126.77</v>
      </c>
      <c r="K1239">
        <v>80167.27</v>
      </c>
      <c r="L1239">
        <v>80036.679999999993</v>
      </c>
    </row>
    <row r="1240" spans="1:12" x14ac:dyDescent="0.2">
      <c r="A1240" t="s">
        <v>33</v>
      </c>
      <c r="B1240" t="s">
        <v>72</v>
      </c>
      <c r="C1240" t="s">
        <v>196</v>
      </c>
      <c r="D1240">
        <v>90393.19</v>
      </c>
      <c r="E1240">
        <v>90223.99</v>
      </c>
      <c r="F1240">
        <v>89823.99</v>
      </c>
      <c r="I1240">
        <v>83361.67</v>
      </c>
      <c r="J1240">
        <v>86093.73</v>
      </c>
      <c r="K1240">
        <v>86427.13</v>
      </c>
    </row>
    <row r="1241" spans="1:12" x14ac:dyDescent="0.2">
      <c r="A1241" t="s">
        <v>33</v>
      </c>
      <c r="B1241" t="s">
        <v>72</v>
      </c>
      <c r="C1241" t="s">
        <v>197</v>
      </c>
      <c r="D1241">
        <v>92011.25</v>
      </c>
      <c r="E1241">
        <v>92061.25</v>
      </c>
      <c r="I1241">
        <v>83438.2</v>
      </c>
      <c r="J1241">
        <v>90758.3</v>
      </c>
    </row>
    <row r="1242" spans="1:12" x14ac:dyDescent="0.2">
      <c r="A1242" t="s">
        <v>33</v>
      </c>
      <c r="B1242" t="s">
        <v>72</v>
      </c>
      <c r="C1242" t="s">
        <v>198</v>
      </c>
      <c r="D1242">
        <v>86151.9</v>
      </c>
      <c r="I1242">
        <v>78305.45</v>
      </c>
    </row>
    <row r="1243" spans="1:12" x14ac:dyDescent="0.2">
      <c r="A1243" t="s">
        <v>34</v>
      </c>
      <c r="B1243" t="s">
        <v>109</v>
      </c>
      <c r="C1243" t="s">
        <v>195</v>
      </c>
      <c r="D1243">
        <v>325308.5</v>
      </c>
      <c r="E1243">
        <v>325308.5</v>
      </c>
      <c r="F1243">
        <v>325308.5</v>
      </c>
      <c r="G1243">
        <v>325308.5</v>
      </c>
      <c r="I1243">
        <v>3549.72</v>
      </c>
      <c r="J1243">
        <v>8068.26</v>
      </c>
      <c r="K1243">
        <v>11589.15</v>
      </c>
      <c r="L1243">
        <v>14620.68</v>
      </c>
    </row>
    <row r="1244" spans="1:12" x14ac:dyDescent="0.2">
      <c r="A1244" t="s">
        <v>34</v>
      </c>
      <c r="B1244" t="s">
        <v>109</v>
      </c>
      <c r="C1244" t="s">
        <v>196</v>
      </c>
      <c r="D1244">
        <v>166529.5</v>
      </c>
      <c r="E1244">
        <v>166529.5</v>
      </c>
      <c r="F1244">
        <v>166529.5</v>
      </c>
      <c r="I1244">
        <v>2130.88</v>
      </c>
      <c r="J1244">
        <v>6939.69</v>
      </c>
      <c r="K1244">
        <v>9681.16</v>
      </c>
    </row>
    <row r="1245" spans="1:12" x14ac:dyDescent="0.2">
      <c r="A1245" t="s">
        <v>34</v>
      </c>
      <c r="B1245" t="s">
        <v>109</v>
      </c>
      <c r="C1245" t="s">
        <v>197</v>
      </c>
      <c r="D1245">
        <v>320933.25</v>
      </c>
      <c r="E1245">
        <v>322033.25</v>
      </c>
      <c r="I1245">
        <v>1807.36</v>
      </c>
      <c r="J1245">
        <v>4937.09</v>
      </c>
    </row>
    <row r="1246" spans="1:12" x14ac:dyDescent="0.2">
      <c r="A1246" t="s">
        <v>34</v>
      </c>
      <c r="B1246" t="s">
        <v>109</v>
      </c>
      <c r="C1246" t="s">
        <v>198</v>
      </c>
      <c r="D1246">
        <v>834514</v>
      </c>
      <c r="I1246">
        <v>1524.71</v>
      </c>
    </row>
    <row r="1247" spans="1:12" x14ac:dyDescent="0.2">
      <c r="A1247" t="s">
        <v>34</v>
      </c>
      <c r="B1247" t="s">
        <v>145</v>
      </c>
      <c r="C1247" t="s">
        <v>195</v>
      </c>
      <c r="D1247">
        <v>154490</v>
      </c>
      <c r="E1247">
        <v>154490</v>
      </c>
      <c r="F1247">
        <v>154490</v>
      </c>
      <c r="G1247">
        <v>154490</v>
      </c>
      <c r="I1247">
        <v>0</v>
      </c>
      <c r="J1247">
        <v>0</v>
      </c>
      <c r="K1247">
        <v>0</v>
      </c>
      <c r="L1247">
        <v>43</v>
      </c>
    </row>
    <row r="1248" spans="1:12" x14ac:dyDescent="0.2">
      <c r="A1248" t="s">
        <v>34</v>
      </c>
      <c r="B1248" t="s">
        <v>145</v>
      </c>
      <c r="C1248" t="s">
        <v>196</v>
      </c>
      <c r="D1248">
        <v>0</v>
      </c>
      <c r="E1248">
        <v>0</v>
      </c>
      <c r="F1248">
        <v>0</v>
      </c>
      <c r="I1248">
        <v>0</v>
      </c>
      <c r="J1248">
        <v>0</v>
      </c>
      <c r="K1248">
        <v>0</v>
      </c>
    </row>
    <row r="1249" spans="1:12" x14ac:dyDescent="0.2">
      <c r="A1249" t="s">
        <v>34</v>
      </c>
      <c r="B1249" t="s">
        <v>145</v>
      </c>
      <c r="C1249" t="s">
        <v>197</v>
      </c>
      <c r="D1249">
        <v>160080</v>
      </c>
      <c r="E1249">
        <v>160080</v>
      </c>
      <c r="I1249">
        <v>0</v>
      </c>
      <c r="J1249">
        <v>0</v>
      </c>
    </row>
    <row r="1250" spans="1:12" x14ac:dyDescent="0.2">
      <c r="A1250" t="s">
        <v>34</v>
      </c>
      <c r="B1250" t="s">
        <v>145</v>
      </c>
      <c r="C1250" t="s">
        <v>198</v>
      </c>
      <c r="D1250">
        <v>629105</v>
      </c>
      <c r="I1250">
        <v>0</v>
      </c>
    </row>
    <row r="1251" spans="1:12" x14ac:dyDescent="0.2">
      <c r="A1251" t="s">
        <v>34</v>
      </c>
      <c r="B1251" t="s">
        <v>110</v>
      </c>
      <c r="C1251" t="s">
        <v>195</v>
      </c>
      <c r="D1251">
        <v>36405</v>
      </c>
      <c r="E1251">
        <v>31201.5</v>
      </c>
      <c r="F1251">
        <v>31201.5</v>
      </c>
      <c r="G1251">
        <v>29354.5</v>
      </c>
      <c r="I1251">
        <v>8405</v>
      </c>
      <c r="J1251">
        <v>14755.5</v>
      </c>
      <c r="K1251">
        <v>17019.95</v>
      </c>
      <c r="L1251">
        <v>17514.95</v>
      </c>
    </row>
    <row r="1252" spans="1:12" x14ac:dyDescent="0.2">
      <c r="A1252" t="s">
        <v>34</v>
      </c>
      <c r="B1252" t="s">
        <v>110</v>
      </c>
      <c r="C1252" t="s">
        <v>196</v>
      </c>
      <c r="D1252">
        <v>27959.5</v>
      </c>
      <c r="E1252">
        <v>26094.5</v>
      </c>
      <c r="F1252">
        <v>25104.5</v>
      </c>
      <c r="I1252">
        <v>8243.5</v>
      </c>
      <c r="J1252">
        <v>12233.27</v>
      </c>
      <c r="K1252">
        <v>14573.01</v>
      </c>
    </row>
    <row r="1253" spans="1:12" x14ac:dyDescent="0.2">
      <c r="A1253" t="s">
        <v>34</v>
      </c>
      <c r="B1253" t="s">
        <v>110</v>
      </c>
      <c r="C1253" t="s">
        <v>197</v>
      </c>
      <c r="D1253">
        <v>42959.5</v>
      </c>
      <c r="E1253">
        <v>38387.5</v>
      </c>
      <c r="I1253">
        <v>8571.5</v>
      </c>
      <c r="J1253">
        <v>14508.4</v>
      </c>
    </row>
    <row r="1254" spans="1:12" x14ac:dyDescent="0.2">
      <c r="A1254" t="s">
        <v>34</v>
      </c>
      <c r="B1254" t="s">
        <v>110</v>
      </c>
      <c r="C1254" t="s">
        <v>198</v>
      </c>
      <c r="D1254">
        <v>40942.68</v>
      </c>
      <c r="I1254">
        <v>6850.18</v>
      </c>
    </row>
    <row r="1255" spans="1:12" x14ac:dyDescent="0.2">
      <c r="A1255" t="s">
        <v>34</v>
      </c>
      <c r="B1255" t="s">
        <v>116</v>
      </c>
      <c r="C1255" t="s">
        <v>195</v>
      </c>
      <c r="D1255">
        <v>1730</v>
      </c>
      <c r="E1255">
        <v>1730</v>
      </c>
      <c r="F1255">
        <v>1415</v>
      </c>
      <c r="G1255">
        <v>1418.5</v>
      </c>
      <c r="I1255">
        <v>0</v>
      </c>
      <c r="J1255">
        <v>0</v>
      </c>
      <c r="K1255">
        <v>0</v>
      </c>
      <c r="L1255">
        <v>0</v>
      </c>
    </row>
    <row r="1256" spans="1:12" x14ac:dyDescent="0.2">
      <c r="A1256" t="s">
        <v>34</v>
      </c>
      <c r="B1256" t="s">
        <v>116</v>
      </c>
      <c r="C1256" t="s">
        <v>196</v>
      </c>
      <c r="D1256">
        <v>1475</v>
      </c>
      <c r="E1256">
        <v>1240</v>
      </c>
      <c r="F1256">
        <v>925</v>
      </c>
      <c r="I1256">
        <v>60</v>
      </c>
      <c r="J1256">
        <v>120</v>
      </c>
      <c r="K1256">
        <v>220</v>
      </c>
    </row>
    <row r="1257" spans="1:12" x14ac:dyDescent="0.2">
      <c r="A1257" t="s">
        <v>34</v>
      </c>
      <c r="B1257" t="s">
        <v>116</v>
      </c>
      <c r="C1257" t="s">
        <v>197</v>
      </c>
      <c r="D1257">
        <v>1913.5</v>
      </c>
      <c r="E1257">
        <v>1298.5</v>
      </c>
      <c r="I1257">
        <v>180</v>
      </c>
      <c r="J1257">
        <v>183.5</v>
      </c>
    </row>
    <row r="1258" spans="1:12" x14ac:dyDescent="0.2">
      <c r="A1258" t="s">
        <v>34</v>
      </c>
      <c r="B1258" t="s">
        <v>116</v>
      </c>
      <c r="C1258" t="s">
        <v>198</v>
      </c>
      <c r="D1258">
        <v>873</v>
      </c>
      <c r="I1258">
        <v>238.5</v>
      </c>
    </row>
    <row r="1259" spans="1:12" x14ac:dyDescent="0.2">
      <c r="A1259" t="s">
        <v>34</v>
      </c>
      <c r="B1259" t="s">
        <v>114</v>
      </c>
      <c r="C1259" t="s">
        <v>195</v>
      </c>
      <c r="D1259">
        <v>49229.5</v>
      </c>
      <c r="E1259">
        <v>43785.5</v>
      </c>
      <c r="F1259">
        <v>42454.5</v>
      </c>
      <c r="G1259">
        <v>41336.5</v>
      </c>
      <c r="I1259">
        <v>16789.5</v>
      </c>
      <c r="J1259">
        <v>25590</v>
      </c>
      <c r="K1259">
        <v>30474</v>
      </c>
      <c r="L1259">
        <v>32006</v>
      </c>
    </row>
    <row r="1260" spans="1:12" x14ac:dyDescent="0.2">
      <c r="A1260" t="s">
        <v>34</v>
      </c>
      <c r="B1260" t="s">
        <v>114</v>
      </c>
      <c r="C1260" t="s">
        <v>196</v>
      </c>
      <c r="D1260">
        <v>32049</v>
      </c>
      <c r="E1260">
        <v>30944</v>
      </c>
      <c r="F1260">
        <v>30636</v>
      </c>
      <c r="I1260">
        <v>15716</v>
      </c>
      <c r="J1260">
        <v>21096</v>
      </c>
      <c r="K1260">
        <v>22276</v>
      </c>
    </row>
    <row r="1261" spans="1:12" x14ac:dyDescent="0.2">
      <c r="A1261" t="s">
        <v>34</v>
      </c>
      <c r="B1261" t="s">
        <v>114</v>
      </c>
      <c r="C1261" t="s">
        <v>197</v>
      </c>
      <c r="D1261">
        <v>52834</v>
      </c>
      <c r="E1261">
        <v>48466</v>
      </c>
      <c r="I1261">
        <v>18363</v>
      </c>
      <c r="J1261">
        <v>28688.86</v>
      </c>
    </row>
    <row r="1262" spans="1:12" x14ac:dyDescent="0.2">
      <c r="A1262" t="s">
        <v>34</v>
      </c>
      <c r="B1262" t="s">
        <v>114</v>
      </c>
      <c r="C1262" t="s">
        <v>198</v>
      </c>
      <c r="D1262">
        <v>44379</v>
      </c>
      <c r="I1262">
        <v>16240</v>
      </c>
    </row>
    <row r="1263" spans="1:12" x14ac:dyDescent="0.2">
      <c r="A1263" t="s">
        <v>34</v>
      </c>
      <c r="B1263" t="s">
        <v>111</v>
      </c>
      <c r="C1263" t="s">
        <v>195</v>
      </c>
      <c r="D1263">
        <v>35388</v>
      </c>
      <c r="E1263">
        <v>35388</v>
      </c>
      <c r="F1263">
        <v>35388</v>
      </c>
      <c r="G1263">
        <v>35388</v>
      </c>
      <c r="I1263">
        <v>34988</v>
      </c>
      <c r="J1263">
        <v>34988</v>
      </c>
      <c r="K1263">
        <v>34988</v>
      </c>
      <c r="L1263">
        <v>34988</v>
      </c>
    </row>
    <row r="1264" spans="1:12" x14ac:dyDescent="0.2">
      <c r="A1264" t="s">
        <v>34</v>
      </c>
      <c r="B1264" t="s">
        <v>111</v>
      </c>
      <c r="C1264" t="s">
        <v>196</v>
      </c>
      <c r="D1264">
        <v>44187</v>
      </c>
      <c r="E1264">
        <v>44187</v>
      </c>
      <c r="F1264">
        <v>44187</v>
      </c>
      <c r="I1264">
        <v>43027</v>
      </c>
      <c r="J1264">
        <v>43037</v>
      </c>
      <c r="K1264">
        <v>43037</v>
      </c>
    </row>
    <row r="1265" spans="1:12" x14ac:dyDescent="0.2">
      <c r="A1265" t="s">
        <v>34</v>
      </c>
      <c r="B1265" t="s">
        <v>111</v>
      </c>
      <c r="C1265" t="s">
        <v>197</v>
      </c>
      <c r="D1265">
        <v>40673.5</v>
      </c>
      <c r="E1265">
        <v>40673.5</v>
      </c>
      <c r="I1265">
        <v>40673.5</v>
      </c>
      <c r="J1265">
        <v>40673.5</v>
      </c>
    </row>
    <row r="1266" spans="1:12" x14ac:dyDescent="0.2">
      <c r="A1266" t="s">
        <v>34</v>
      </c>
      <c r="B1266" t="s">
        <v>111</v>
      </c>
      <c r="C1266" t="s">
        <v>198</v>
      </c>
      <c r="D1266">
        <v>31990.5</v>
      </c>
      <c r="I1266">
        <v>29990.5</v>
      </c>
    </row>
    <row r="1267" spans="1:12" x14ac:dyDescent="0.2">
      <c r="A1267" t="s">
        <v>34</v>
      </c>
      <c r="B1267" t="s">
        <v>112</v>
      </c>
      <c r="C1267" t="s">
        <v>195</v>
      </c>
      <c r="D1267">
        <v>31035.75</v>
      </c>
      <c r="E1267">
        <v>31035.75</v>
      </c>
      <c r="F1267">
        <v>31095.75</v>
      </c>
      <c r="G1267">
        <v>31095.75</v>
      </c>
      <c r="I1267">
        <v>31010.75</v>
      </c>
      <c r="J1267">
        <v>31010.75</v>
      </c>
      <c r="K1267">
        <v>31070.75</v>
      </c>
      <c r="L1267">
        <v>31070.75</v>
      </c>
    </row>
    <row r="1268" spans="1:12" x14ac:dyDescent="0.2">
      <c r="A1268" t="s">
        <v>34</v>
      </c>
      <c r="B1268" t="s">
        <v>112</v>
      </c>
      <c r="C1268" t="s">
        <v>196</v>
      </c>
      <c r="D1268">
        <v>37277.5</v>
      </c>
      <c r="E1268">
        <v>37277.5</v>
      </c>
      <c r="F1268">
        <v>37277.5</v>
      </c>
      <c r="I1268">
        <v>36632.5</v>
      </c>
      <c r="J1268">
        <v>37252.5</v>
      </c>
      <c r="K1268">
        <v>37252.5</v>
      </c>
    </row>
    <row r="1269" spans="1:12" x14ac:dyDescent="0.2">
      <c r="A1269" t="s">
        <v>34</v>
      </c>
      <c r="B1269" t="s">
        <v>112</v>
      </c>
      <c r="C1269" t="s">
        <v>197</v>
      </c>
      <c r="D1269">
        <v>47908.91</v>
      </c>
      <c r="E1269">
        <v>47908.91</v>
      </c>
      <c r="I1269">
        <v>47548.91</v>
      </c>
      <c r="J1269">
        <v>47733.91</v>
      </c>
    </row>
    <row r="1270" spans="1:12" x14ac:dyDescent="0.2">
      <c r="A1270" t="s">
        <v>34</v>
      </c>
      <c r="B1270" t="s">
        <v>112</v>
      </c>
      <c r="C1270" t="s">
        <v>198</v>
      </c>
      <c r="D1270">
        <v>37876.959999999999</v>
      </c>
      <c r="I1270">
        <v>37866.959999999999</v>
      </c>
    </row>
    <row r="1271" spans="1:12" x14ac:dyDescent="0.2">
      <c r="A1271" t="s">
        <v>34</v>
      </c>
      <c r="B1271" t="s">
        <v>115</v>
      </c>
      <c r="C1271" t="s">
        <v>195</v>
      </c>
      <c r="D1271">
        <v>409783.55</v>
      </c>
      <c r="E1271">
        <v>402741.9</v>
      </c>
      <c r="F1271">
        <v>402587.9</v>
      </c>
      <c r="G1271">
        <v>402587.9</v>
      </c>
      <c r="I1271">
        <v>205001.4</v>
      </c>
      <c r="J1271">
        <v>346671.4</v>
      </c>
      <c r="K1271">
        <v>361525.65</v>
      </c>
      <c r="L1271">
        <v>367690.4</v>
      </c>
    </row>
    <row r="1272" spans="1:12" x14ac:dyDescent="0.2">
      <c r="A1272" t="s">
        <v>34</v>
      </c>
      <c r="B1272" t="s">
        <v>115</v>
      </c>
      <c r="C1272" t="s">
        <v>196</v>
      </c>
      <c r="D1272">
        <v>466499.15</v>
      </c>
      <c r="E1272">
        <v>459895.3</v>
      </c>
      <c r="F1272">
        <v>460609.3</v>
      </c>
      <c r="I1272">
        <v>244495.15</v>
      </c>
      <c r="J1272">
        <v>385819.8</v>
      </c>
      <c r="K1272">
        <v>407947.05</v>
      </c>
    </row>
    <row r="1273" spans="1:12" x14ac:dyDescent="0.2">
      <c r="A1273" t="s">
        <v>34</v>
      </c>
      <c r="B1273" t="s">
        <v>115</v>
      </c>
      <c r="C1273" t="s">
        <v>197</v>
      </c>
      <c r="D1273">
        <v>524774.30000000005</v>
      </c>
      <c r="E1273">
        <v>517600.3</v>
      </c>
      <c r="I1273">
        <v>273557.65000000002</v>
      </c>
      <c r="J1273">
        <v>421044.9</v>
      </c>
    </row>
    <row r="1274" spans="1:12" x14ac:dyDescent="0.2">
      <c r="A1274" t="s">
        <v>34</v>
      </c>
      <c r="B1274" t="s">
        <v>115</v>
      </c>
      <c r="C1274" t="s">
        <v>198</v>
      </c>
      <c r="D1274">
        <v>438452.05</v>
      </c>
      <c r="I1274">
        <v>236298.3</v>
      </c>
    </row>
    <row r="1275" spans="1:12" x14ac:dyDescent="0.2">
      <c r="A1275" t="s">
        <v>34</v>
      </c>
      <c r="B1275" t="s">
        <v>113</v>
      </c>
      <c r="C1275" t="s">
        <v>195</v>
      </c>
      <c r="D1275">
        <v>14328.11</v>
      </c>
      <c r="E1275">
        <v>14328.11</v>
      </c>
      <c r="F1275">
        <v>14328.11</v>
      </c>
      <c r="G1275">
        <v>14328.11</v>
      </c>
      <c r="I1275">
        <v>14328.11</v>
      </c>
      <c r="J1275">
        <v>14328.11</v>
      </c>
      <c r="K1275">
        <v>14328.11</v>
      </c>
      <c r="L1275">
        <v>14328.11</v>
      </c>
    </row>
    <row r="1276" spans="1:12" x14ac:dyDescent="0.2">
      <c r="A1276" t="s">
        <v>34</v>
      </c>
      <c r="B1276" t="s">
        <v>113</v>
      </c>
      <c r="C1276" t="s">
        <v>196</v>
      </c>
      <c r="D1276">
        <v>17896.39</v>
      </c>
      <c r="E1276">
        <v>17896.39</v>
      </c>
      <c r="F1276">
        <v>17896.39</v>
      </c>
      <c r="I1276">
        <v>18246.39</v>
      </c>
      <c r="J1276">
        <v>18246.39</v>
      </c>
      <c r="K1276">
        <v>18246.39</v>
      </c>
    </row>
    <row r="1277" spans="1:12" x14ac:dyDescent="0.2">
      <c r="A1277" t="s">
        <v>34</v>
      </c>
      <c r="B1277" t="s">
        <v>113</v>
      </c>
      <c r="C1277" t="s">
        <v>197</v>
      </c>
      <c r="D1277">
        <v>17775.11</v>
      </c>
      <c r="E1277">
        <v>17775.11</v>
      </c>
      <c r="I1277">
        <v>17775.11</v>
      </c>
      <c r="J1277">
        <v>17775.11</v>
      </c>
    </row>
    <row r="1278" spans="1:12" x14ac:dyDescent="0.2">
      <c r="A1278" t="s">
        <v>34</v>
      </c>
      <c r="B1278" t="s">
        <v>113</v>
      </c>
      <c r="C1278" t="s">
        <v>198</v>
      </c>
      <c r="D1278">
        <v>16735.669999999998</v>
      </c>
      <c r="I1278">
        <v>16665.669999999998</v>
      </c>
    </row>
    <row r="1279" spans="1:12" x14ac:dyDescent="0.2">
      <c r="A1279" t="s">
        <v>34</v>
      </c>
      <c r="B1279" t="s">
        <v>72</v>
      </c>
      <c r="C1279" t="s">
        <v>195</v>
      </c>
      <c r="D1279">
        <v>18628.2</v>
      </c>
      <c r="E1279">
        <v>18653.2</v>
      </c>
      <c r="F1279">
        <v>18653.2</v>
      </c>
      <c r="G1279">
        <v>18653.2</v>
      </c>
      <c r="I1279">
        <v>17760.2</v>
      </c>
      <c r="J1279">
        <v>17785.2</v>
      </c>
      <c r="K1279">
        <v>17785.2</v>
      </c>
      <c r="L1279">
        <v>17785.2</v>
      </c>
    </row>
    <row r="1280" spans="1:12" x14ac:dyDescent="0.2">
      <c r="A1280" t="s">
        <v>34</v>
      </c>
      <c r="B1280" t="s">
        <v>72</v>
      </c>
      <c r="C1280" t="s">
        <v>196</v>
      </c>
      <c r="D1280">
        <v>23372</v>
      </c>
      <c r="E1280">
        <v>23372</v>
      </c>
      <c r="F1280">
        <v>23372</v>
      </c>
      <c r="I1280">
        <v>23347</v>
      </c>
      <c r="J1280">
        <v>23372</v>
      </c>
      <c r="K1280">
        <v>23372</v>
      </c>
    </row>
    <row r="1281" spans="1:12" x14ac:dyDescent="0.2">
      <c r="A1281" t="s">
        <v>34</v>
      </c>
      <c r="B1281" t="s">
        <v>72</v>
      </c>
      <c r="C1281" t="s">
        <v>197</v>
      </c>
      <c r="D1281">
        <v>21717</v>
      </c>
      <c r="E1281">
        <v>22017</v>
      </c>
      <c r="I1281">
        <v>21224</v>
      </c>
      <c r="J1281">
        <v>21682</v>
      </c>
    </row>
    <row r="1282" spans="1:12" x14ac:dyDescent="0.2">
      <c r="A1282" t="s">
        <v>34</v>
      </c>
      <c r="B1282" t="s">
        <v>72</v>
      </c>
      <c r="C1282" t="s">
        <v>198</v>
      </c>
      <c r="D1282">
        <v>29154</v>
      </c>
      <c r="I1282">
        <v>28391</v>
      </c>
    </row>
    <row r="1283" spans="1:12" x14ac:dyDescent="0.2">
      <c r="A1283" t="s">
        <v>35</v>
      </c>
      <c r="B1283" t="s">
        <v>109</v>
      </c>
      <c r="C1283" t="s">
        <v>195</v>
      </c>
      <c r="D1283">
        <v>11580.25</v>
      </c>
      <c r="E1283">
        <v>10771.25</v>
      </c>
      <c r="F1283">
        <v>10771.25</v>
      </c>
      <c r="G1283">
        <v>10771.25</v>
      </c>
      <c r="I1283">
        <v>1013.32</v>
      </c>
      <c r="J1283">
        <v>2360.06</v>
      </c>
      <c r="K1283">
        <v>2511.9699999999998</v>
      </c>
      <c r="L1283">
        <v>2798.8</v>
      </c>
    </row>
    <row r="1284" spans="1:12" x14ac:dyDescent="0.2">
      <c r="A1284" t="s">
        <v>35</v>
      </c>
      <c r="B1284" t="s">
        <v>109</v>
      </c>
      <c r="C1284" t="s">
        <v>196</v>
      </c>
      <c r="D1284">
        <v>7610.75</v>
      </c>
      <c r="E1284">
        <v>7610.75</v>
      </c>
      <c r="F1284">
        <v>7610.75</v>
      </c>
      <c r="I1284">
        <v>188.62</v>
      </c>
      <c r="J1284">
        <v>216.55</v>
      </c>
      <c r="K1284">
        <v>307.89999999999998</v>
      </c>
    </row>
    <row r="1285" spans="1:12" x14ac:dyDescent="0.2">
      <c r="A1285" t="s">
        <v>35</v>
      </c>
      <c r="B1285" t="s">
        <v>109</v>
      </c>
      <c r="C1285" t="s">
        <v>197</v>
      </c>
      <c r="D1285">
        <v>19239</v>
      </c>
      <c r="E1285">
        <v>19239</v>
      </c>
      <c r="I1285">
        <v>4138.16</v>
      </c>
      <c r="J1285">
        <v>4546.34</v>
      </c>
    </row>
    <row r="1286" spans="1:12" x14ac:dyDescent="0.2">
      <c r="A1286" t="s">
        <v>35</v>
      </c>
      <c r="B1286" t="s">
        <v>109</v>
      </c>
      <c r="C1286" t="s">
        <v>198</v>
      </c>
      <c r="D1286">
        <v>23593.16</v>
      </c>
      <c r="I1286">
        <v>1774.37</v>
      </c>
    </row>
    <row r="1287" spans="1:12" x14ac:dyDescent="0.2">
      <c r="A1287" t="s">
        <v>35</v>
      </c>
      <c r="B1287" t="s">
        <v>145</v>
      </c>
      <c r="C1287" t="s">
        <v>195</v>
      </c>
      <c r="D1287">
        <v>0</v>
      </c>
      <c r="E1287">
        <v>0</v>
      </c>
      <c r="F1287">
        <v>0</v>
      </c>
      <c r="G1287">
        <v>0</v>
      </c>
      <c r="I1287">
        <v>0</v>
      </c>
      <c r="J1287">
        <v>0</v>
      </c>
      <c r="K1287">
        <v>0</v>
      </c>
      <c r="L1287">
        <v>0</v>
      </c>
    </row>
    <row r="1288" spans="1:12" x14ac:dyDescent="0.2">
      <c r="A1288" t="s">
        <v>35</v>
      </c>
      <c r="B1288" t="s">
        <v>145</v>
      </c>
      <c r="C1288" t="s">
        <v>196</v>
      </c>
      <c r="D1288">
        <v>0</v>
      </c>
      <c r="E1288">
        <v>0</v>
      </c>
      <c r="F1288">
        <v>0</v>
      </c>
      <c r="I1288">
        <v>0</v>
      </c>
      <c r="J1288">
        <v>0</v>
      </c>
      <c r="K1288">
        <v>0</v>
      </c>
    </row>
    <row r="1289" spans="1:12" x14ac:dyDescent="0.2">
      <c r="A1289" t="s">
        <v>35</v>
      </c>
      <c r="B1289" t="s">
        <v>145</v>
      </c>
      <c r="C1289" t="s">
        <v>197</v>
      </c>
      <c r="D1289">
        <v>0</v>
      </c>
      <c r="E1289">
        <v>0</v>
      </c>
      <c r="I1289">
        <v>0</v>
      </c>
      <c r="J1289">
        <v>0</v>
      </c>
    </row>
    <row r="1290" spans="1:12" x14ac:dyDescent="0.2">
      <c r="A1290" t="s">
        <v>35</v>
      </c>
      <c r="B1290" t="s">
        <v>145</v>
      </c>
      <c r="C1290" t="s">
        <v>198</v>
      </c>
      <c r="D1290">
        <v>0</v>
      </c>
      <c r="I1290">
        <v>0</v>
      </c>
    </row>
    <row r="1291" spans="1:12" x14ac:dyDescent="0.2">
      <c r="A1291" t="s">
        <v>35</v>
      </c>
      <c r="B1291" t="s">
        <v>110</v>
      </c>
      <c r="C1291" t="s">
        <v>195</v>
      </c>
      <c r="D1291">
        <v>6583.75</v>
      </c>
      <c r="E1291">
        <v>6193</v>
      </c>
      <c r="F1291">
        <v>6193</v>
      </c>
      <c r="G1291">
        <v>6193</v>
      </c>
      <c r="I1291">
        <v>2820.75</v>
      </c>
      <c r="J1291">
        <v>3674.25</v>
      </c>
      <c r="K1291">
        <v>3674.25</v>
      </c>
      <c r="L1291">
        <v>3674.25</v>
      </c>
    </row>
    <row r="1292" spans="1:12" x14ac:dyDescent="0.2">
      <c r="A1292" t="s">
        <v>35</v>
      </c>
      <c r="B1292" t="s">
        <v>110</v>
      </c>
      <c r="C1292" t="s">
        <v>196</v>
      </c>
      <c r="D1292">
        <v>11881.75</v>
      </c>
      <c r="E1292">
        <v>11079.5</v>
      </c>
      <c r="F1292">
        <v>10663.75</v>
      </c>
      <c r="I1292">
        <v>2274.25</v>
      </c>
      <c r="J1292">
        <v>4007.5</v>
      </c>
      <c r="K1292">
        <v>5381.96</v>
      </c>
    </row>
    <row r="1293" spans="1:12" x14ac:dyDescent="0.2">
      <c r="A1293" t="s">
        <v>35</v>
      </c>
      <c r="B1293" t="s">
        <v>110</v>
      </c>
      <c r="C1293" t="s">
        <v>197</v>
      </c>
      <c r="D1293">
        <v>7971.5</v>
      </c>
      <c r="E1293">
        <v>7946.5</v>
      </c>
      <c r="I1293">
        <v>1114.55</v>
      </c>
      <c r="J1293">
        <v>2416.4499999999998</v>
      </c>
    </row>
    <row r="1294" spans="1:12" x14ac:dyDescent="0.2">
      <c r="A1294" t="s">
        <v>35</v>
      </c>
      <c r="B1294" t="s">
        <v>110</v>
      </c>
      <c r="C1294" t="s">
        <v>198</v>
      </c>
      <c r="D1294">
        <v>11063.5</v>
      </c>
      <c r="I1294">
        <v>1895.75</v>
      </c>
    </row>
    <row r="1295" spans="1:12" x14ac:dyDescent="0.2">
      <c r="A1295" t="s">
        <v>35</v>
      </c>
      <c r="B1295" t="s">
        <v>116</v>
      </c>
      <c r="C1295" t="s">
        <v>195</v>
      </c>
      <c r="D1295">
        <v>0</v>
      </c>
      <c r="E1295">
        <v>0</v>
      </c>
      <c r="F1295">
        <v>0</v>
      </c>
      <c r="G1295">
        <v>0</v>
      </c>
      <c r="I1295">
        <v>0</v>
      </c>
      <c r="J1295">
        <v>0</v>
      </c>
      <c r="K1295">
        <v>0</v>
      </c>
      <c r="L1295">
        <v>0</v>
      </c>
    </row>
    <row r="1296" spans="1:12" x14ac:dyDescent="0.2">
      <c r="A1296" t="s">
        <v>35</v>
      </c>
      <c r="B1296" t="s">
        <v>116</v>
      </c>
      <c r="C1296" t="s">
        <v>196</v>
      </c>
      <c r="D1296">
        <v>0</v>
      </c>
      <c r="E1296">
        <v>0</v>
      </c>
      <c r="F1296">
        <v>0</v>
      </c>
      <c r="I1296">
        <v>0</v>
      </c>
      <c r="J1296">
        <v>0</v>
      </c>
      <c r="K1296">
        <v>0</v>
      </c>
    </row>
    <row r="1297" spans="1:12" x14ac:dyDescent="0.2">
      <c r="A1297" t="s">
        <v>35</v>
      </c>
      <c r="B1297" t="s">
        <v>116</v>
      </c>
      <c r="C1297" t="s">
        <v>197</v>
      </c>
      <c r="D1297">
        <v>0</v>
      </c>
      <c r="E1297">
        <v>0</v>
      </c>
      <c r="I1297">
        <v>0</v>
      </c>
      <c r="J1297">
        <v>0</v>
      </c>
    </row>
    <row r="1298" spans="1:12" x14ac:dyDescent="0.2">
      <c r="A1298" t="s">
        <v>35</v>
      </c>
      <c r="B1298" t="s">
        <v>116</v>
      </c>
      <c r="C1298" t="s">
        <v>198</v>
      </c>
      <c r="D1298">
        <v>0</v>
      </c>
      <c r="I1298">
        <v>0</v>
      </c>
    </row>
    <row r="1299" spans="1:12" x14ac:dyDescent="0.2">
      <c r="A1299" t="s">
        <v>35</v>
      </c>
      <c r="B1299" t="s">
        <v>114</v>
      </c>
      <c r="C1299" t="s">
        <v>195</v>
      </c>
      <c r="D1299">
        <v>17942.55</v>
      </c>
      <c r="E1299">
        <v>17942.55</v>
      </c>
      <c r="F1299">
        <v>17217.8</v>
      </c>
      <c r="G1299">
        <v>16592.8</v>
      </c>
      <c r="I1299">
        <v>5458</v>
      </c>
      <c r="J1299">
        <v>6145</v>
      </c>
      <c r="K1299">
        <v>7878.15</v>
      </c>
      <c r="L1299">
        <v>7878.15</v>
      </c>
    </row>
    <row r="1300" spans="1:12" x14ac:dyDescent="0.2">
      <c r="A1300" t="s">
        <v>35</v>
      </c>
      <c r="B1300" t="s">
        <v>114</v>
      </c>
      <c r="C1300" t="s">
        <v>196</v>
      </c>
      <c r="D1300">
        <v>21352.1</v>
      </c>
      <c r="E1300">
        <v>19258.95</v>
      </c>
      <c r="F1300">
        <v>17314.55</v>
      </c>
      <c r="I1300">
        <v>3470.5</v>
      </c>
      <c r="J1300">
        <v>6520.09</v>
      </c>
      <c r="K1300">
        <v>6826.49</v>
      </c>
    </row>
    <row r="1301" spans="1:12" x14ac:dyDescent="0.2">
      <c r="A1301" t="s">
        <v>35</v>
      </c>
      <c r="B1301" t="s">
        <v>114</v>
      </c>
      <c r="C1301" t="s">
        <v>197</v>
      </c>
      <c r="D1301">
        <v>15404.3</v>
      </c>
      <c r="E1301">
        <v>13944.15</v>
      </c>
      <c r="I1301">
        <v>6054.4</v>
      </c>
      <c r="J1301">
        <v>8832.4</v>
      </c>
    </row>
    <row r="1302" spans="1:12" x14ac:dyDescent="0.2">
      <c r="A1302" t="s">
        <v>35</v>
      </c>
      <c r="B1302" t="s">
        <v>114</v>
      </c>
      <c r="C1302" t="s">
        <v>198</v>
      </c>
      <c r="D1302">
        <v>8662.73</v>
      </c>
      <c r="I1302">
        <v>898.73</v>
      </c>
    </row>
    <row r="1303" spans="1:12" x14ac:dyDescent="0.2">
      <c r="A1303" t="s">
        <v>35</v>
      </c>
      <c r="B1303" t="s">
        <v>111</v>
      </c>
      <c r="C1303" t="s">
        <v>195</v>
      </c>
      <c r="D1303">
        <v>13354</v>
      </c>
      <c r="E1303">
        <v>13354</v>
      </c>
      <c r="F1303">
        <v>13354</v>
      </c>
      <c r="G1303">
        <v>13354</v>
      </c>
      <c r="I1303">
        <v>12000</v>
      </c>
      <c r="J1303">
        <v>12954</v>
      </c>
      <c r="K1303">
        <v>12954</v>
      </c>
      <c r="L1303">
        <v>12954</v>
      </c>
    </row>
    <row r="1304" spans="1:12" x14ac:dyDescent="0.2">
      <c r="A1304" t="s">
        <v>35</v>
      </c>
      <c r="B1304" t="s">
        <v>111</v>
      </c>
      <c r="C1304" t="s">
        <v>196</v>
      </c>
      <c r="D1304">
        <v>12858.5</v>
      </c>
      <c r="E1304">
        <v>12852.5</v>
      </c>
      <c r="F1304">
        <v>12852.5</v>
      </c>
      <c r="I1304">
        <v>12442.5</v>
      </c>
      <c r="J1304">
        <v>12442.5</v>
      </c>
      <c r="K1304">
        <v>12442.5</v>
      </c>
    </row>
    <row r="1305" spans="1:12" x14ac:dyDescent="0.2">
      <c r="A1305" t="s">
        <v>35</v>
      </c>
      <c r="B1305" t="s">
        <v>111</v>
      </c>
      <c r="C1305" t="s">
        <v>197</v>
      </c>
      <c r="D1305">
        <v>18243.5</v>
      </c>
      <c r="E1305">
        <v>18243.5</v>
      </c>
      <c r="I1305">
        <v>15477.5</v>
      </c>
      <c r="J1305">
        <v>17843.5</v>
      </c>
    </row>
    <row r="1306" spans="1:12" x14ac:dyDescent="0.2">
      <c r="A1306" t="s">
        <v>35</v>
      </c>
      <c r="B1306" t="s">
        <v>111</v>
      </c>
      <c r="C1306" t="s">
        <v>198</v>
      </c>
      <c r="D1306">
        <v>12138.5</v>
      </c>
      <c r="I1306">
        <v>11688.5</v>
      </c>
    </row>
    <row r="1307" spans="1:12" x14ac:dyDescent="0.2">
      <c r="A1307" t="s">
        <v>35</v>
      </c>
      <c r="B1307" t="s">
        <v>112</v>
      </c>
      <c r="C1307" t="s">
        <v>195</v>
      </c>
      <c r="D1307">
        <v>6945</v>
      </c>
      <c r="E1307">
        <v>6945</v>
      </c>
      <c r="F1307">
        <v>6945</v>
      </c>
      <c r="G1307">
        <v>6945</v>
      </c>
      <c r="I1307">
        <v>5965</v>
      </c>
      <c r="J1307">
        <v>6770</v>
      </c>
      <c r="K1307">
        <v>6770</v>
      </c>
      <c r="L1307">
        <v>6770</v>
      </c>
    </row>
    <row r="1308" spans="1:12" x14ac:dyDescent="0.2">
      <c r="A1308" t="s">
        <v>35</v>
      </c>
      <c r="B1308" t="s">
        <v>112</v>
      </c>
      <c r="C1308" t="s">
        <v>196</v>
      </c>
      <c r="D1308">
        <v>8280</v>
      </c>
      <c r="E1308">
        <v>8280</v>
      </c>
      <c r="F1308">
        <v>8280</v>
      </c>
      <c r="I1308">
        <v>7680</v>
      </c>
      <c r="J1308">
        <v>7680</v>
      </c>
      <c r="K1308">
        <v>7680</v>
      </c>
    </row>
    <row r="1309" spans="1:12" x14ac:dyDescent="0.2">
      <c r="A1309" t="s">
        <v>35</v>
      </c>
      <c r="B1309" t="s">
        <v>112</v>
      </c>
      <c r="C1309" t="s">
        <v>197</v>
      </c>
      <c r="D1309">
        <v>14865</v>
      </c>
      <c r="E1309">
        <v>14865</v>
      </c>
      <c r="I1309">
        <v>12580</v>
      </c>
      <c r="J1309">
        <v>12765</v>
      </c>
    </row>
    <row r="1310" spans="1:12" x14ac:dyDescent="0.2">
      <c r="A1310" t="s">
        <v>35</v>
      </c>
      <c r="B1310" t="s">
        <v>112</v>
      </c>
      <c r="C1310" t="s">
        <v>198</v>
      </c>
      <c r="D1310">
        <v>6240</v>
      </c>
      <c r="I1310">
        <v>5745</v>
      </c>
    </row>
    <row r="1311" spans="1:12" x14ac:dyDescent="0.2">
      <c r="A1311" t="s">
        <v>35</v>
      </c>
      <c r="B1311" t="s">
        <v>115</v>
      </c>
      <c r="C1311" t="s">
        <v>195</v>
      </c>
      <c r="D1311">
        <v>128105</v>
      </c>
      <c r="E1311">
        <v>126209</v>
      </c>
      <c r="F1311">
        <v>126209</v>
      </c>
      <c r="G1311">
        <v>126209</v>
      </c>
      <c r="I1311">
        <v>54379</v>
      </c>
      <c r="J1311">
        <v>97466</v>
      </c>
      <c r="K1311">
        <v>106420</v>
      </c>
      <c r="L1311">
        <v>108850.14</v>
      </c>
    </row>
    <row r="1312" spans="1:12" x14ac:dyDescent="0.2">
      <c r="A1312" t="s">
        <v>35</v>
      </c>
      <c r="B1312" t="s">
        <v>115</v>
      </c>
      <c r="C1312" t="s">
        <v>196</v>
      </c>
      <c r="D1312">
        <v>139919.5</v>
      </c>
      <c r="E1312">
        <v>136507.5</v>
      </c>
      <c r="F1312">
        <v>135694.5</v>
      </c>
      <c r="I1312">
        <v>61594</v>
      </c>
      <c r="J1312">
        <v>112982</v>
      </c>
      <c r="K1312">
        <v>118839</v>
      </c>
    </row>
    <row r="1313" spans="1:12" x14ac:dyDescent="0.2">
      <c r="A1313" t="s">
        <v>35</v>
      </c>
      <c r="B1313" t="s">
        <v>115</v>
      </c>
      <c r="C1313" t="s">
        <v>197</v>
      </c>
      <c r="D1313">
        <v>110676.5</v>
      </c>
      <c r="E1313">
        <v>109902.5</v>
      </c>
      <c r="I1313">
        <v>52152</v>
      </c>
      <c r="J1313">
        <v>83557</v>
      </c>
    </row>
    <row r="1314" spans="1:12" x14ac:dyDescent="0.2">
      <c r="A1314" t="s">
        <v>35</v>
      </c>
      <c r="B1314" t="s">
        <v>115</v>
      </c>
      <c r="C1314" t="s">
        <v>198</v>
      </c>
      <c r="D1314">
        <v>99937</v>
      </c>
      <c r="I1314">
        <v>49781</v>
      </c>
    </row>
    <row r="1315" spans="1:12" x14ac:dyDescent="0.2">
      <c r="A1315" t="s">
        <v>35</v>
      </c>
      <c r="B1315" t="s">
        <v>113</v>
      </c>
      <c r="C1315" t="s">
        <v>195</v>
      </c>
      <c r="D1315">
        <v>4267</v>
      </c>
      <c r="E1315">
        <v>4267</v>
      </c>
      <c r="F1315">
        <v>4267</v>
      </c>
      <c r="G1315">
        <v>4267</v>
      </c>
      <c r="I1315">
        <v>4267</v>
      </c>
      <c r="J1315">
        <v>4267</v>
      </c>
      <c r="K1315">
        <v>4267</v>
      </c>
      <c r="L1315">
        <v>4267</v>
      </c>
    </row>
    <row r="1316" spans="1:12" x14ac:dyDescent="0.2">
      <c r="A1316" t="s">
        <v>35</v>
      </c>
      <c r="B1316" t="s">
        <v>113</v>
      </c>
      <c r="C1316" t="s">
        <v>196</v>
      </c>
      <c r="D1316">
        <v>4235</v>
      </c>
      <c r="E1316">
        <v>4235</v>
      </c>
      <c r="F1316">
        <v>4235</v>
      </c>
      <c r="I1316">
        <v>4235</v>
      </c>
      <c r="J1316">
        <v>4235</v>
      </c>
      <c r="K1316">
        <v>4235</v>
      </c>
    </row>
    <row r="1317" spans="1:12" x14ac:dyDescent="0.2">
      <c r="A1317" t="s">
        <v>35</v>
      </c>
      <c r="B1317" t="s">
        <v>113</v>
      </c>
      <c r="C1317" t="s">
        <v>197</v>
      </c>
      <c r="D1317">
        <v>7064</v>
      </c>
      <c r="E1317">
        <v>7064</v>
      </c>
      <c r="I1317">
        <v>6264</v>
      </c>
      <c r="J1317">
        <v>6664</v>
      </c>
    </row>
    <row r="1318" spans="1:12" x14ac:dyDescent="0.2">
      <c r="A1318" t="s">
        <v>35</v>
      </c>
      <c r="B1318" t="s">
        <v>113</v>
      </c>
      <c r="C1318" t="s">
        <v>198</v>
      </c>
      <c r="D1318">
        <v>4316</v>
      </c>
      <c r="I1318">
        <v>4316</v>
      </c>
    </row>
    <row r="1319" spans="1:12" x14ac:dyDescent="0.2">
      <c r="A1319" t="s">
        <v>35</v>
      </c>
      <c r="B1319" t="s">
        <v>72</v>
      </c>
      <c r="C1319" t="s">
        <v>195</v>
      </c>
      <c r="D1319">
        <v>6487</v>
      </c>
      <c r="E1319">
        <v>6487</v>
      </c>
      <c r="F1319">
        <v>6487</v>
      </c>
      <c r="G1319">
        <v>6487</v>
      </c>
      <c r="I1319">
        <v>6029</v>
      </c>
      <c r="J1319">
        <v>6044</v>
      </c>
      <c r="K1319">
        <v>6079</v>
      </c>
      <c r="L1319">
        <v>6079</v>
      </c>
    </row>
    <row r="1320" spans="1:12" x14ac:dyDescent="0.2">
      <c r="A1320" t="s">
        <v>35</v>
      </c>
      <c r="B1320" t="s">
        <v>72</v>
      </c>
      <c r="C1320" t="s">
        <v>196</v>
      </c>
      <c r="D1320">
        <v>3323</v>
      </c>
      <c r="E1320">
        <v>3323</v>
      </c>
      <c r="F1320">
        <v>3323</v>
      </c>
      <c r="I1320">
        <v>2082</v>
      </c>
      <c r="J1320">
        <v>2127</v>
      </c>
      <c r="K1320">
        <v>2127</v>
      </c>
    </row>
    <row r="1321" spans="1:12" x14ac:dyDescent="0.2">
      <c r="A1321" t="s">
        <v>35</v>
      </c>
      <c r="B1321" t="s">
        <v>72</v>
      </c>
      <c r="C1321" t="s">
        <v>197</v>
      </c>
      <c r="D1321">
        <v>6074</v>
      </c>
      <c r="E1321">
        <v>6074</v>
      </c>
      <c r="I1321">
        <v>5816</v>
      </c>
      <c r="J1321">
        <v>5866</v>
      </c>
    </row>
    <row r="1322" spans="1:12" x14ac:dyDescent="0.2">
      <c r="A1322" t="s">
        <v>35</v>
      </c>
      <c r="B1322" t="s">
        <v>72</v>
      </c>
      <c r="C1322" t="s">
        <v>198</v>
      </c>
      <c r="D1322">
        <v>3861</v>
      </c>
      <c r="I1322">
        <v>3473</v>
      </c>
    </row>
    <row r="1323" spans="1:12" x14ac:dyDescent="0.2">
      <c r="A1323" t="s">
        <v>36</v>
      </c>
      <c r="B1323" t="s">
        <v>109</v>
      </c>
      <c r="C1323" t="s">
        <v>195</v>
      </c>
      <c r="D1323">
        <v>12475.16</v>
      </c>
      <c r="E1323">
        <v>12475.16</v>
      </c>
      <c r="F1323">
        <v>12475.16</v>
      </c>
      <c r="G1323">
        <v>12475.16</v>
      </c>
      <c r="I1323">
        <v>250</v>
      </c>
      <c r="J1323">
        <v>288.45</v>
      </c>
      <c r="K1323">
        <v>632.66999999999996</v>
      </c>
      <c r="L1323">
        <v>944.2</v>
      </c>
    </row>
    <row r="1324" spans="1:12" x14ac:dyDescent="0.2">
      <c r="A1324" t="s">
        <v>36</v>
      </c>
      <c r="B1324" t="s">
        <v>109</v>
      </c>
      <c r="C1324" t="s">
        <v>196</v>
      </c>
      <c r="D1324">
        <v>27857</v>
      </c>
      <c r="E1324">
        <v>27857</v>
      </c>
      <c r="F1324">
        <v>30587</v>
      </c>
      <c r="I1324">
        <v>0</v>
      </c>
      <c r="J1324">
        <v>82.7</v>
      </c>
      <c r="K1324">
        <v>354.33</v>
      </c>
    </row>
    <row r="1325" spans="1:12" x14ac:dyDescent="0.2">
      <c r="A1325" t="s">
        <v>36</v>
      </c>
      <c r="B1325" t="s">
        <v>109</v>
      </c>
      <c r="C1325" t="s">
        <v>197</v>
      </c>
      <c r="D1325">
        <v>16183</v>
      </c>
      <c r="E1325">
        <v>19928</v>
      </c>
      <c r="I1325">
        <v>83.59</v>
      </c>
      <c r="J1325">
        <v>858.07</v>
      </c>
    </row>
    <row r="1326" spans="1:12" x14ac:dyDescent="0.2">
      <c r="A1326" t="s">
        <v>36</v>
      </c>
      <c r="B1326" t="s">
        <v>109</v>
      </c>
      <c r="C1326" t="s">
        <v>198</v>
      </c>
      <c r="D1326">
        <v>26737</v>
      </c>
      <c r="I1326">
        <v>1226.6099999999999</v>
      </c>
    </row>
    <row r="1327" spans="1:12" x14ac:dyDescent="0.2">
      <c r="A1327" t="s">
        <v>36</v>
      </c>
      <c r="B1327" t="s">
        <v>145</v>
      </c>
      <c r="C1327" t="s">
        <v>195</v>
      </c>
      <c r="D1327">
        <v>0</v>
      </c>
      <c r="I1327">
        <v>0</v>
      </c>
    </row>
    <row r="1328" spans="1:12" x14ac:dyDescent="0.2">
      <c r="A1328" t="s">
        <v>36</v>
      </c>
      <c r="B1328" t="s">
        <v>145</v>
      </c>
      <c r="C1328" t="s">
        <v>196</v>
      </c>
    </row>
    <row r="1329" spans="1:12" x14ac:dyDescent="0.2">
      <c r="A1329" t="s">
        <v>36</v>
      </c>
      <c r="B1329" t="s">
        <v>145</v>
      </c>
      <c r="C1329" t="s">
        <v>197</v>
      </c>
    </row>
    <row r="1330" spans="1:12" x14ac:dyDescent="0.2">
      <c r="A1330" t="s">
        <v>36</v>
      </c>
      <c r="B1330" t="s">
        <v>145</v>
      </c>
      <c r="C1330" t="s">
        <v>198</v>
      </c>
    </row>
    <row r="1331" spans="1:12" x14ac:dyDescent="0.2">
      <c r="A1331" t="s">
        <v>36</v>
      </c>
      <c r="B1331" t="s">
        <v>110</v>
      </c>
      <c r="C1331" t="s">
        <v>195</v>
      </c>
      <c r="D1331">
        <v>985</v>
      </c>
      <c r="E1331">
        <v>985</v>
      </c>
      <c r="F1331">
        <v>985</v>
      </c>
      <c r="G1331">
        <v>985</v>
      </c>
      <c r="I1331">
        <v>880</v>
      </c>
      <c r="J1331">
        <v>935</v>
      </c>
      <c r="K1331">
        <v>985</v>
      </c>
      <c r="L1331">
        <v>985</v>
      </c>
    </row>
    <row r="1332" spans="1:12" x14ac:dyDescent="0.2">
      <c r="A1332" t="s">
        <v>36</v>
      </c>
      <c r="B1332" t="s">
        <v>110</v>
      </c>
      <c r="C1332" t="s">
        <v>196</v>
      </c>
      <c r="D1332">
        <v>4965</v>
      </c>
      <c r="E1332">
        <v>4915</v>
      </c>
      <c r="F1332">
        <v>4915</v>
      </c>
      <c r="I1332">
        <v>1545</v>
      </c>
      <c r="J1332">
        <v>2135</v>
      </c>
      <c r="K1332">
        <v>3655</v>
      </c>
    </row>
    <row r="1333" spans="1:12" x14ac:dyDescent="0.2">
      <c r="A1333" t="s">
        <v>36</v>
      </c>
      <c r="B1333" t="s">
        <v>110</v>
      </c>
      <c r="C1333" t="s">
        <v>197</v>
      </c>
      <c r="D1333">
        <v>6377.5</v>
      </c>
      <c r="E1333">
        <v>6327.5</v>
      </c>
      <c r="I1333">
        <v>706</v>
      </c>
      <c r="J1333">
        <v>1248.5</v>
      </c>
    </row>
    <row r="1334" spans="1:12" x14ac:dyDescent="0.2">
      <c r="A1334" t="s">
        <v>36</v>
      </c>
      <c r="B1334" t="s">
        <v>110</v>
      </c>
      <c r="C1334" t="s">
        <v>198</v>
      </c>
      <c r="D1334">
        <v>2987.5</v>
      </c>
      <c r="I1334">
        <v>258</v>
      </c>
    </row>
    <row r="1335" spans="1:12" x14ac:dyDescent="0.2">
      <c r="A1335" t="s">
        <v>36</v>
      </c>
      <c r="B1335" t="s">
        <v>116</v>
      </c>
      <c r="C1335" t="s">
        <v>195</v>
      </c>
      <c r="D1335">
        <v>0</v>
      </c>
      <c r="E1335">
        <v>0</v>
      </c>
      <c r="F1335">
        <v>0</v>
      </c>
      <c r="G1335">
        <v>0</v>
      </c>
      <c r="I1335">
        <v>0</v>
      </c>
      <c r="J1335">
        <v>0</v>
      </c>
      <c r="K1335">
        <v>0</v>
      </c>
      <c r="L1335">
        <v>0</v>
      </c>
    </row>
    <row r="1336" spans="1:12" x14ac:dyDescent="0.2">
      <c r="A1336" t="s">
        <v>36</v>
      </c>
      <c r="B1336" t="s">
        <v>116</v>
      </c>
      <c r="C1336" t="s">
        <v>196</v>
      </c>
      <c r="D1336">
        <v>3418</v>
      </c>
      <c r="E1336">
        <v>3418</v>
      </c>
      <c r="F1336">
        <v>3418</v>
      </c>
      <c r="I1336">
        <v>0</v>
      </c>
      <c r="J1336">
        <v>0</v>
      </c>
      <c r="K1336">
        <v>0</v>
      </c>
    </row>
    <row r="1337" spans="1:12" x14ac:dyDescent="0.2">
      <c r="A1337" t="s">
        <v>36</v>
      </c>
      <c r="B1337" t="s">
        <v>116</v>
      </c>
      <c r="C1337" t="s">
        <v>197</v>
      </c>
      <c r="D1337">
        <v>0</v>
      </c>
      <c r="E1337">
        <v>0</v>
      </c>
      <c r="I1337">
        <v>0</v>
      </c>
      <c r="J1337">
        <v>0</v>
      </c>
    </row>
    <row r="1338" spans="1:12" x14ac:dyDescent="0.2">
      <c r="A1338" t="s">
        <v>36</v>
      </c>
      <c r="B1338" t="s">
        <v>116</v>
      </c>
      <c r="C1338" t="s">
        <v>198</v>
      </c>
      <c r="D1338">
        <v>0</v>
      </c>
      <c r="I1338">
        <v>0</v>
      </c>
    </row>
    <row r="1339" spans="1:12" x14ac:dyDescent="0.2">
      <c r="A1339" t="s">
        <v>36</v>
      </c>
      <c r="B1339" t="s">
        <v>114</v>
      </c>
      <c r="C1339" t="s">
        <v>195</v>
      </c>
      <c r="D1339">
        <v>2538</v>
      </c>
      <c r="E1339">
        <v>2538</v>
      </c>
      <c r="F1339">
        <v>2538</v>
      </c>
      <c r="G1339">
        <v>2538</v>
      </c>
      <c r="I1339">
        <v>788</v>
      </c>
      <c r="J1339">
        <v>1519</v>
      </c>
      <c r="K1339">
        <v>2145</v>
      </c>
      <c r="L1339">
        <v>2145</v>
      </c>
    </row>
    <row r="1340" spans="1:12" x14ac:dyDescent="0.2">
      <c r="A1340" t="s">
        <v>36</v>
      </c>
      <c r="B1340" t="s">
        <v>114</v>
      </c>
      <c r="C1340" t="s">
        <v>196</v>
      </c>
      <c r="D1340">
        <v>9051.32</v>
      </c>
      <c r="E1340">
        <v>9001.32</v>
      </c>
      <c r="F1340">
        <v>9001.32</v>
      </c>
      <c r="I1340">
        <v>3494</v>
      </c>
      <c r="J1340">
        <v>4437.5</v>
      </c>
      <c r="K1340">
        <v>5300.5</v>
      </c>
    </row>
    <row r="1341" spans="1:12" x14ac:dyDescent="0.2">
      <c r="A1341" t="s">
        <v>36</v>
      </c>
      <c r="B1341" t="s">
        <v>114</v>
      </c>
      <c r="C1341" t="s">
        <v>197</v>
      </c>
      <c r="D1341">
        <v>11046</v>
      </c>
      <c r="E1341">
        <v>11046</v>
      </c>
      <c r="I1341">
        <v>2499</v>
      </c>
      <c r="J1341">
        <v>4404</v>
      </c>
    </row>
    <row r="1342" spans="1:12" x14ac:dyDescent="0.2">
      <c r="A1342" t="s">
        <v>36</v>
      </c>
      <c r="B1342" t="s">
        <v>114</v>
      </c>
      <c r="C1342" t="s">
        <v>198</v>
      </c>
      <c r="D1342">
        <v>7163</v>
      </c>
      <c r="I1342">
        <v>1124</v>
      </c>
    </row>
    <row r="1343" spans="1:12" x14ac:dyDescent="0.2">
      <c r="A1343" t="s">
        <v>36</v>
      </c>
      <c r="B1343" t="s">
        <v>111</v>
      </c>
      <c r="C1343" t="s">
        <v>195</v>
      </c>
      <c r="D1343">
        <v>4040</v>
      </c>
      <c r="E1343">
        <v>4040</v>
      </c>
      <c r="F1343">
        <v>4040</v>
      </c>
      <c r="G1343">
        <v>4040</v>
      </c>
      <c r="I1343">
        <v>3640</v>
      </c>
      <c r="J1343">
        <v>3640</v>
      </c>
      <c r="K1343">
        <v>3640</v>
      </c>
      <c r="L1343">
        <v>3640</v>
      </c>
    </row>
    <row r="1344" spans="1:12" x14ac:dyDescent="0.2">
      <c r="A1344" t="s">
        <v>36</v>
      </c>
      <c r="B1344" t="s">
        <v>111</v>
      </c>
      <c r="C1344" t="s">
        <v>196</v>
      </c>
      <c r="D1344">
        <v>6005</v>
      </c>
      <c r="E1344">
        <v>6005</v>
      </c>
      <c r="F1344">
        <v>6005</v>
      </c>
      <c r="I1344">
        <v>5205</v>
      </c>
      <c r="J1344">
        <v>5205</v>
      </c>
      <c r="K1344">
        <v>5605</v>
      </c>
    </row>
    <row r="1345" spans="1:12" x14ac:dyDescent="0.2">
      <c r="A1345" t="s">
        <v>36</v>
      </c>
      <c r="B1345" t="s">
        <v>111</v>
      </c>
      <c r="C1345" t="s">
        <v>197</v>
      </c>
      <c r="D1345">
        <v>3628.5</v>
      </c>
      <c r="E1345">
        <v>3628.5</v>
      </c>
      <c r="I1345">
        <v>3628.5</v>
      </c>
      <c r="J1345">
        <v>3628.5</v>
      </c>
    </row>
    <row r="1346" spans="1:12" x14ac:dyDescent="0.2">
      <c r="A1346" t="s">
        <v>36</v>
      </c>
      <c r="B1346" t="s">
        <v>111</v>
      </c>
      <c r="C1346" t="s">
        <v>198</v>
      </c>
      <c r="D1346">
        <v>8475</v>
      </c>
      <c r="I1346">
        <v>8475</v>
      </c>
    </row>
    <row r="1347" spans="1:12" x14ac:dyDescent="0.2">
      <c r="A1347" t="s">
        <v>36</v>
      </c>
      <c r="B1347" t="s">
        <v>112</v>
      </c>
      <c r="C1347" t="s">
        <v>195</v>
      </c>
      <c r="D1347">
        <v>3216</v>
      </c>
      <c r="E1347">
        <v>3216</v>
      </c>
      <c r="F1347">
        <v>3216</v>
      </c>
      <c r="G1347">
        <v>3216</v>
      </c>
      <c r="I1347">
        <v>3216</v>
      </c>
      <c r="J1347">
        <v>3216</v>
      </c>
      <c r="K1347">
        <v>3216</v>
      </c>
      <c r="L1347">
        <v>3216</v>
      </c>
    </row>
    <row r="1348" spans="1:12" x14ac:dyDescent="0.2">
      <c r="A1348" t="s">
        <v>36</v>
      </c>
      <c r="B1348" t="s">
        <v>112</v>
      </c>
      <c r="C1348" t="s">
        <v>196</v>
      </c>
      <c r="D1348">
        <v>3678</v>
      </c>
      <c r="E1348">
        <v>3678</v>
      </c>
      <c r="F1348">
        <v>3678</v>
      </c>
      <c r="I1348">
        <v>3678</v>
      </c>
      <c r="J1348">
        <v>3678</v>
      </c>
      <c r="K1348">
        <v>3678</v>
      </c>
    </row>
    <row r="1349" spans="1:12" x14ac:dyDescent="0.2">
      <c r="A1349" t="s">
        <v>36</v>
      </c>
      <c r="B1349" t="s">
        <v>112</v>
      </c>
      <c r="C1349" t="s">
        <v>197</v>
      </c>
      <c r="D1349">
        <v>3955</v>
      </c>
      <c r="E1349">
        <v>3955</v>
      </c>
      <c r="I1349">
        <v>3955</v>
      </c>
      <c r="J1349">
        <v>3955</v>
      </c>
    </row>
    <row r="1350" spans="1:12" x14ac:dyDescent="0.2">
      <c r="A1350" t="s">
        <v>36</v>
      </c>
      <c r="B1350" t="s">
        <v>112</v>
      </c>
      <c r="C1350" t="s">
        <v>198</v>
      </c>
      <c r="D1350">
        <v>3670</v>
      </c>
      <c r="I1350">
        <v>3670</v>
      </c>
    </row>
    <row r="1351" spans="1:12" x14ac:dyDescent="0.2">
      <c r="A1351" t="s">
        <v>36</v>
      </c>
      <c r="B1351" t="s">
        <v>115</v>
      </c>
      <c r="C1351" t="s">
        <v>195</v>
      </c>
      <c r="D1351">
        <v>15707</v>
      </c>
      <c r="E1351">
        <v>15342</v>
      </c>
      <c r="F1351">
        <v>15342</v>
      </c>
      <c r="G1351">
        <v>15342</v>
      </c>
      <c r="I1351">
        <v>8039</v>
      </c>
      <c r="J1351">
        <v>12949</v>
      </c>
      <c r="K1351">
        <v>13437</v>
      </c>
      <c r="L1351">
        <v>13838</v>
      </c>
    </row>
    <row r="1352" spans="1:12" x14ac:dyDescent="0.2">
      <c r="A1352" t="s">
        <v>36</v>
      </c>
      <c r="B1352" t="s">
        <v>115</v>
      </c>
      <c r="C1352" t="s">
        <v>196</v>
      </c>
      <c r="D1352">
        <v>17327.150000000001</v>
      </c>
      <c r="E1352">
        <v>16625.400000000001</v>
      </c>
      <c r="F1352">
        <v>16532.400000000001</v>
      </c>
      <c r="I1352">
        <v>8554.15</v>
      </c>
      <c r="J1352">
        <v>14619.4</v>
      </c>
      <c r="K1352">
        <v>15291.4</v>
      </c>
    </row>
    <row r="1353" spans="1:12" x14ac:dyDescent="0.2">
      <c r="A1353" t="s">
        <v>36</v>
      </c>
      <c r="B1353" t="s">
        <v>115</v>
      </c>
      <c r="C1353" t="s">
        <v>197</v>
      </c>
      <c r="D1353">
        <v>29183.75</v>
      </c>
      <c r="E1353">
        <v>27440.75</v>
      </c>
      <c r="I1353">
        <v>16404.75</v>
      </c>
      <c r="J1353">
        <v>24980.75</v>
      </c>
    </row>
    <row r="1354" spans="1:12" x14ac:dyDescent="0.2">
      <c r="A1354" t="s">
        <v>36</v>
      </c>
      <c r="B1354" t="s">
        <v>115</v>
      </c>
      <c r="C1354" t="s">
        <v>198</v>
      </c>
      <c r="D1354">
        <v>20488.400000000001</v>
      </c>
      <c r="I1354">
        <v>9776.4</v>
      </c>
    </row>
    <row r="1355" spans="1:12" x14ac:dyDescent="0.2">
      <c r="A1355" t="s">
        <v>36</v>
      </c>
      <c r="B1355" t="s">
        <v>113</v>
      </c>
      <c r="C1355" t="s">
        <v>195</v>
      </c>
      <c r="D1355">
        <v>1160</v>
      </c>
      <c r="E1355">
        <v>1160</v>
      </c>
      <c r="F1355">
        <v>1160</v>
      </c>
      <c r="G1355">
        <v>1160</v>
      </c>
      <c r="I1355">
        <v>1160</v>
      </c>
      <c r="J1355">
        <v>1160</v>
      </c>
      <c r="K1355">
        <v>1160</v>
      </c>
      <c r="L1355">
        <v>1160</v>
      </c>
    </row>
    <row r="1356" spans="1:12" x14ac:dyDescent="0.2">
      <c r="A1356" t="s">
        <v>36</v>
      </c>
      <c r="B1356" t="s">
        <v>113</v>
      </c>
      <c r="C1356" t="s">
        <v>196</v>
      </c>
      <c r="D1356">
        <v>3215</v>
      </c>
      <c r="E1356">
        <v>3215</v>
      </c>
      <c r="F1356">
        <v>3215</v>
      </c>
      <c r="I1356">
        <v>3215</v>
      </c>
      <c r="J1356">
        <v>3215</v>
      </c>
      <c r="K1356">
        <v>3215</v>
      </c>
    </row>
    <row r="1357" spans="1:12" x14ac:dyDescent="0.2">
      <c r="A1357" t="s">
        <v>36</v>
      </c>
      <c r="B1357" t="s">
        <v>113</v>
      </c>
      <c r="C1357" t="s">
        <v>197</v>
      </c>
      <c r="D1357">
        <v>3954</v>
      </c>
      <c r="E1357">
        <v>4009</v>
      </c>
      <c r="I1357">
        <v>3954</v>
      </c>
      <c r="J1357">
        <v>4009</v>
      </c>
    </row>
    <row r="1358" spans="1:12" x14ac:dyDescent="0.2">
      <c r="A1358" t="s">
        <v>36</v>
      </c>
      <c r="B1358" t="s">
        <v>113</v>
      </c>
      <c r="C1358" t="s">
        <v>198</v>
      </c>
      <c r="D1358">
        <v>3273</v>
      </c>
      <c r="I1358">
        <v>3273</v>
      </c>
    </row>
    <row r="1359" spans="1:12" x14ac:dyDescent="0.2">
      <c r="A1359" t="s">
        <v>36</v>
      </c>
      <c r="B1359" t="s">
        <v>72</v>
      </c>
      <c r="C1359" t="s">
        <v>195</v>
      </c>
      <c r="D1359">
        <v>3958</v>
      </c>
      <c r="E1359">
        <v>3958</v>
      </c>
      <c r="F1359">
        <v>3958</v>
      </c>
      <c r="G1359">
        <v>3958</v>
      </c>
      <c r="I1359">
        <v>3958</v>
      </c>
      <c r="J1359">
        <v>3958</v>
      </c>
      <c r="K1359">
        <v>3958</v>
      </c>
      <c r="L1359">
        <v>3958</v>
      </c>
    </row>
    <row r="1360" spans="1:12" x14ac:dyDescent="0.2">
      <c r="A1360" t="s">
        <v>36</v>
      </c>
      <c r="B1360" t="s">
        <v>72</v>
      </c>
      <c r="C1360" t="s">
        <v>196</v>
      </c>
      <c r="D1360">
        <v>2492</v>
      </c>
      <c r="E1360">
        <v>2084</v>
      </c>
      <c r="F1360">
        <v>2084</v>
      </c>
      <c r="I1360">
        <v>1684</v>
      </c>
      <c r="J1360">
        <v>1684</v>
      </c>
      <c r="K1360">
        <v>1684</v>
      </c>
    </row>
    <row r="1361" spans="1:12" x14ac:dyDescent="0.2">
      <c r="A1361" t="s">
        <v>36</v>
      </c>
      <c r="B1361" t="s">
        <v>72</v>
      </c>
      <c r="C1361" t="s">
        <v>197</v>
      </c>
      <c r="D1361">
        <v>4519</v>
      </c>
      <c r="E1361">
        <v>4519</v>
      </c>
      <c r="I1361">
        <v>4519</v>
      </c>
      <c r="J1361">
        <v>4519</v>
      </c>
    </row>
    <row r="1362" spans="1:12" x14ac:dyDescent="0.2">
      <c r="A1362" t="s">
        <v>36</v>
      </c>
      <c r="B1362" t="s">
        <v>72</v>
      </c>
      <c r="C1362" t="s">
        <v>198</v>
      </c>
      <c r="D1362">
        <v>3047</v>
      </c>
      <c r="I1362">
        <v>3047</v>
      </c>
    </row>
    <row r="1363" spans="1:12" x14ac:dyDescent="0.2">
      <c r="A1363" t="s">
        <v>37</v>
      </c>
      <c r="B1363" t="s">
        <v>109</v>
      </c>
      <c r="C1363" t="s">
        <v>195</v>
      </c>
      <c r="D1363">
        <v>1161232.2</v>
      </c>
      <c r="E1363">
        <v>1158207.2</v>
      </c>
      <c r="F1363">
        <v>1157324.7</v>
      </c>
      <c r="G1363">
        <v>1156924.7</v>
      </c>
      <c r="I1363">
        <v>27336.880000000001</v>
      </c>
      <c r="J1363">
        <v>47470.400000000001</v>
      </c>
      <c r="K1363">
        <v>61248.56</v>
      </c>
      <c r="L1363">
        <v>73793.45</v>
      </c>
    </row>
    <row r="1364" spans="1:12" x14ac:dyDescent="0.2">
      <c r="A1364" t="s">
        <v>37</v>
      </c>
      <c r="B1364" t="s">
        <v>109</v>
      </c>
      <c r="C1364" t="s">
        <v>196</v>
      </c>
      <c r="D1364">
        <v>1296244.1299999999</v>
      </c>
      <c r="E1364">
        <v>1293055.3500000001</v>
      </c>
      <c r="F1364">
        <v>1292154.55</v>
      </c>
      <c r="I1364">
        <v>27702.02</v>
      </c>
      <c r="J1364">
        <v>51643.06</v>
      </c>
      <c r="K1364">
        <v>66112.69</v>
      </c>
    </row>
    <row r="1365" spans="1:12" x14ac:dyDescent="0.2">
      <c r="A1365" t="s">
        <v>37</v>
      </c>
      <c r="B1365" t="s">
        <v>109</v>
      </c>
      <c r="C1365" t="s">
        <v>197</v>
      </c>
      <c r="D1365">
        <v>1172909.52</v>
      </c>
      <c r="E1365">
        <v>1172193.02</v>
      </c>
      <c r="I1365">
        <v>30265.38</v>
      </c>
      <c r="J1365">
        <v>51291.55</v>
      </c>
    </row>
    <row r="1366" spans="1:12" x14ac:dyDescent="0.2">
      <c r="A1366" t="s">
        <v>37</v>
      </c>
      <c r="B1366" t="s">
        <v>109</v>
      </c>
      <c r="C1366" t="s">
        <v>198</v>
      </c>
      <c r="D1366">
        <v>1490960.59</v>
      </c>
      <c r="I1366">
        <v>59857.87</v>
      </c>
    </row>
    <row r="1367" spans="1:12" x14ac:dyDescent="0.2">
      <c r="A1367" t="s">
        <v>37</v>
      </c>
      <c r="B1367" t="s">
        <v>145</v>
      </c>
      <c r="C1367" t="s">
        <v>195</v>
      </c>
      <c r="D1367">
        <v>350000</v>
      </c>
      <c r="E1367">
        <v>350000</v>
      </c>
      <c r="F1367">
        <v>350000</v>
      </c>
      <c r="G1367">
        <v>350000</v>
      </c>
      <c r="I1367">
        <v>0</v>
      </c>
      <c r="J1367">
        <v>0</v>
      </c>
      <c r="K1367">
        <v>0</v>
      </c>
      <c r="L1367">
        <v>0</v>
      </c>
    </row>
    <row r="1368" spans="1:12" x14ac:dyDescent="0.2">
      <c r="A1368" t="s">
        <v>37</v>
      </c>
      <c r="B1368" t="s">
        <v>145</v>
      </c>
      <c r="C1368" t="s">
        <v>196</v>
      </c>
      <c r="D1368">
        <v>500000</v>
      </c>
      <c r="E1368">
        <v>500000</v>
      </c>
      <c r="F1368">
        <v>500000</v>
      </c>
      <c r="I1368">
        <v>0</v>
      </c>
      <c r="J1368">
        <v>0</v>
      </c>
      <c r="K1368">
        <v>0</v>
      </c>
    </row>
    <row r="1369" spans="1:12" x14ac:dyDescent="0.2">
      <c r="A1369" t="s">
        <v>37</v>
      </c>
      <c r="B1369" t="s">
        <v>145</v>
      </c>
      <c r="C1369" t="s">
        <v>197</v>
      </c>
      <c r="D1369">
        <v>300000</v>
      </c>
      <c r="E1369">
        <v>300000</v>
      </c>
      <c r="I1369">
        <v>0</v>
      </c>
      <c r="J1369">
        <v>0</v>
      </c>
    </row>
    <row r="1370" spans="1:12" x14ac:dyDescent="0.2">
      <c r="A1370" t="s">
        <v>37</v>
      </c>
      <c r="B1370" t="s">
        <v>145</v>
      </c>
      <c r="C1370" t="s">
        <v>198</v>
      </c>
      <c r="D1370">
        <v>565000</v>
      </c>
      <c r="I1370">
        <v>0</v>
      </c>
    </row>
    <row r="1371" spans="1:12" x14ac:dyDescent="0.2">
      <c r="A1371" t="s">
        <v>37</v>
      </c>
      <c r="B1371" t="s">
        <v>110</v>
      </c>
      <c r="C1371" t="s">
        <v>195</v>
      </c>
      <c r="D1371">
        <v>374096</v>
      </c>
      <c r="E1371">
        <v>363898</v>
      </c>
      <c r="F1371">
        <v>359297.4</v>
      </c>
      <c r="G1371">
        <v>358097.4</v>
      </c>
      <c r="I1371">
        <v>53711.49</v>
      </c>
      <c r="J1371">
        <v>80175.61</v>
      </c>
      <c r="K1371">
        <v>98116.58</v>
      </c>
      <c r="L1371">
        <v>106516.54</v>
      </c>
    </row>
    <row r="1372" spans="1:12" x14ac:dyDescent="0.2">
      <c r="A1372" t="s">
        <v>37</v>
      </c>
      <c r="B1372" t="s">
        <v>110</v>
      </c>
      <c r="C1372" t="s">
        <v>196</v>
      </c>
      <c r="D1372">
        <v>400703.65</v>
      </c>
      <c r="E1372">
        <v>392571.95</v>
      </c>
      <c r="F1372">
        <v>387821.93</v>
      </c>
      <c r="I1372">
        <v>63925.440000000002</v>
      </c>
      <c r="J1372">
        <v>99711.3</v>
      </c>
      <c r="K1372">
        <v>117854.66</v>
      </c>
    </row>
    <row r="1373" spans="1:12" x14ac:dyDescent="0.2">
      <c r="A1373" t="s">
        <v>37</v>
      </c>
      <c r="B1373" t="s">
        <v>110</v>
      </c>
      <c r="C1373" t="s">
        <v>197</v>
      </c>
      <c r="D1373">
        <v>414322</v>
      </c>
      <c r="E1373">
        <v>406518.83</v>
      </c>
      <c r="I1373">
        <v>59865.82</v>
      </c>
      <c r="J1373">
        <v>87270.57</v>
      </c>
    </row>
    <row r="1374" spans="1:12" x14ac:dyDescent="0.2">
      <c r="A1374" t="s">
        <v>37</v>
      </c>
      <c r="B1374" t="s">
        <v>110</v>
      </c>
      <c r="C1374" t="s">
        <v>198</v>
      </c>
      <c r="D1374">
        <v>375882.93</v>
      </c>
      <c r="I1374">
        <v>51124.83</v>
      </c>
    </row>
    <row r="1375" spans="1:12" x14ac:dyDescent="0.2">
      <c r="A1375" t="s">
        <v>37</v>
      </c>
      <c r="B1375" t="s">
        <v>116</v>
      </c>
      <c r="C1375" t="s">
        <v>195</v>
      </c>
      <c r="D1375">
        <v>13149.5</v>
      </c>
      <c r="E1375">
        <v>13149.5</v>
      </c>
      <c r="F1375">
        <v>13149.5</v>
      </c>
      <c r="G1375">
        <v>13149.5</v>
      </c>
      <c r="I1375">
        <v>231.5</v>
      </c>
      <c r="J1375">
        <v>459.5</v>
      </c>
      <c r="K1375">
        <v>905.5</v>
      </c>
      <c r="L1375">
        <v>1202.8</v>
      </c>
    </row>
    <row r="1376" spans="1:12" x14ac:dyDescent="0.2">
      <c r="A1376" t="s">
        <v>37</v>
      </c>
      <c r="B1376" t="s">
        <v>116</v>
      </c>
      <c r="C1376" t="s">
        <v>196</v>
      </c>
      <c r="D1376">
        <v>14851.5</v>
      </c>
      <c r="E1376">
        <v>14851.5</v>
      </c>
      <c r="F1376">
        <v>14851.5</v>
      </c>
      <c r="I1376">
        <v>166.5</v>
      </c>
      <c r="J1376">
        <v>432.84</v>
      </c>
      <c r="K1376">
        <v>496.84</v>
      </c>
    </row>
    <row r="1377" spans="1:12" x14ac:dyDescent="0.2">
      <c r="A1377" t="s">
        <v>37</v>
      </c>
      <c r="B1377" t="s">
        <v>116</v>
      </c>
      <c r="C1377" t="s">
        <v>197</v>
      </c>
      <c r="D1377">
        <v>20424</v>
      </c>
      <c r="E1377">
        <v>20424</v>
      </c>
      <c r="I1377">
        <v>70</v>
      </c>
      <c r="J1377">
        <v>488</v>
      </c>
    </row>
    <row r="1378" spans="1:12" x14ac:dyDescent="0.2">
      <c r="A1378" t="s">
        <v>37</v>
      </c>
      <c r="B1378" t="s">
        <v>116</v>
      </c>
      <c r="C1378" t="s">
        <v>198</v>
      </c>
      <c r="D1378">
        <v>19522.5</v>
      </c>
      <c r="I1378">
        <v>73.5</v>
      </c>
    </row>
    <row r="1379" spans="1:12" x14ac:dyDescent="0.2">
      <c r="A1379" t="s">
        <v>37</v>
      </c>
      <c r="B1379" t="s">
        <v>114</v>
      </c>
      <c r="C1379" t="s">
        <v>195</v>
      </c>
      <c r="D1379">
        <v>316403</v>
      </c>
      <c r="E1379">
        <v>315003</v>
      </c>
      <c r="F1379">
        <v>313333.65999999997</v>
      </c>
      <c r="G1379">
        <v>313208.65999999997</v>
      </c>
      <c r="I1379">
        <v>82886.100000000006</v>
      </c>
      <c r="J1379">
        <v>126007.55</v>
      </c>
      <c r="K1379">
        <v>152851.51</v>
      </c>
      <c r="L1379">
        <v>170220.58</v>
      </c>
    </row>
    <row r="1380" spans="1:12" x14ac:dyDescent="0.2">
      <c r="A1380" t="s">
        <v>37</v>
      </c>
      <c r="B1380" t="s">
        <v>114</v>
      </c>
      <c r="C1380" t="s">
        <v>196</v>
      </c>
      <c r="D1380">
        <v>430532.12</v>
      </c>
      <c r="E1380">
        <v>427574</v>
      </c>
      <c r="F1380">
        <v>425954</v>
      </c>
      <c r="I1380">
        <v>114380.39</v>
      </c>
      <c r="J1380">
        <v>165535.79999999999</v>
      </c>
      <c r="K1380">
        <v>193659.39</v>
      </c>
    </row>
    <row r="1381" spans="1:12" x14ac:dyDescent="0.2">
      <c r="A1381" t="s">
        <v>37</v>
      </c>
      <c r="B1381" t="s">
        <v>114</v>
      </c>
      <c r="C1381" t="s">
        <v>197</v>
      </c>
      <c r="D1381">
        <v>412583.26</v>
      </c>
      <c r="E1381">
        <v>408255.9</v>
      </c>
      <c r="I1381">
        <v>139289.73000000001</v>
      </c>
      <c r="J1381">
        <v>183648.1</v>
      </c>
    </row>
    <row r="1382" spans="1:12" x14ac:dyDescent="0.2">
      <c r="A1382" t="s">
        <v>37</v>
      </c>
      <c r="B1382" t="s">
        <v>114</v>
      </c>
      <c r="C1382" t="s">
        <v>198</v>
      </c>
      <c r="D1382">
        <v>420292.75</v>
      </c>
      <c r="I1382">
        <v>122880.14</v>
      </c>
    </row>
    <row r="1383" spans="1:12" x14ac:dyDescent="0.2">
      <c r="A1383" t="s">
        <v>37</v>
      </c>
      <c r="B1383" t="s">
        <v>111</v>
      </c>
      <c r="C1383" t="s">
        <v>195</v>
      </c>
      <c r="D1383">
        <v>396074.44</v>
      </c>
      <c r="E1383">
        <v>395714.44</v>
      </c>
      <c r="F1383">
        <v>395714.44</v>
      </c>
      <c r="G1383">
        <v>394914.44</v>
      </c>
      <c r="I1383">
        <v>386075.68</v>
      </c>
      <c r="J1383">
        <v>390571.44</v>
      </c>
      <c r="K1383">
        <v>390621.44</v>
      </c>
      <c r="L1383">
        <v>390623.44</v>
      </c>
    </row>
    <row r="1384" spans="1:12" x14ac:dyDescent="0.2">
      <c r="A1384" t="s">
        <v>37</v>
      </c>
      <c r="B1384" t="s">
        <v>111</v>
      </c>
      <c r="C1384" t="s">
        <v>196</v>
      </c>
      <c r="D1384">
        <v>492606.05</v>
      </c>
      <c r="E1384">
        <v>486372.72</v>
      </c>
      <c r="F1384">
        <v>485169.72</v>
      </c>
      <c r="I1384">
        <v>480141.55</v>
      </c>
      <c r="J1384">
        <v>482268.22</v>
      </c>
      <c r="K1384">
        <v>482329.72</v>
      </c>
    </row>
    <row r="1385" spans="1:12" x14ac:dyDescent="0.2">
      <c r="A1385" t="s">
        <v>37</v>
      </c>
      <c r="B1385" t="s">
        <v>111</v>
      </c>
      <c r="C1385" t="s">
        <v>197</v>
      </c>
      <c r="D1385">
        <v>494610.73</v>
      </c>
      <c r="E1385">
        <v>490680.73</v>
      </c>
      <c r="I1385">
        <v>484432.25</v>
      </c>
      <c r="J1385">
        <v>484906.75</v>
      </c>
    </row>
    <row r="1386" spans="1:12" x14ac:dyDescent="0.2">
      <c r="A1386" t="s">
        <v>37</v>
      </c>
      <c r="B1386" t="s">
        <v>111</v>
      </c>
      <c r="C1386" t="s">
        <v>198</v>
      </c>
      <c r="D1386">
        <v>407407.71</v>
      </c>
      <c r="I1386">
        <v>398736.87</v>
      </c>
    </row>
    <row r="1387" spans="1:12" x14ac:dyDescent="0.2">
      <c r="A1387" t="s">
        <v>37</v>
      </c>
      <c r="B1387" t="s">
        <v>112</v>
      </c>
      <c r="C1387" t="s">
        <v>195</v>
      </c>
      <c r="D1387">
        <v>268480.32</v>
      </c>
      <c r="E1387">
        <v>268138.84999999998</v>
      </c>
      <c r="F1387">
        <v>268138.84999999998</v>
      </c>
      <c r="G1387">
        <v>268138.84999999998</v>
      </c>
      <c r="I1387">
        <v>265434.74</v>
      </c>
      <c r="J1387">
        <v>266144.7</v>
      </c>
      <c r="K1387">
        <v>266144.7</v>
      </c>
      <c r="L1387">
        <v>266144.7</v>
      </c>
    </row>
    <row r="1388" spans="1:12" x14ac:dyDescent="0.2">
      <c r="A1388" t="s">
        <v>37</v>
      </c>
      <c r="B1388" t="s">
        <v>112</v>
      </c>
      <c r="C1388" t="s">
        <v>196</v>
      </c>
      <c r="D1388">
        <v>302802.58</v>
      </c>
      <c r="E1388">
        <v>302796.58</v>
      </c>
      <c r="F1388">
        <v>302796.58</v>
      </c>
      <c r="I1388">
        <v>302274.08</v>
      </c>
      <c r="J1388">
        <v>302382.08000000002</v>
      </c>
      <c r="K1388">
        <v>302382.08000000002</v>
      </c>
    </row>
    <row r="1389" spans="1:12" x14ac:dyDescent="0.2">
      <c r="A1389" t="s">
        <v>37</v>
      </c>
      <c r="B1389" t="s">
        <v>112</v>
      </c>
      <c r="C1389" t="s">
        <v>197</v>
      </c>
      <c r="D1389">
        <v>308961.13</v>
      </c>
      <c r="E1389">
        <v>308941.13</v>
      </c>
      <c r="I1389">
        <v>306965.34000000003</v>
      </c>
      <c r="J1389">
        <v>306985.34000000003</v>
      </c>
    </row>
    <row r="1390" spans="1:12" x14ac:dyDescent="0.2">
      <c r="A1390" t="s">
        <v>37</v>
      </c>
      <c r="B1390" t="s">
        <v>112</v>
      </c>
      <c r="C1390" t="s">
        <v>198</v>
      </c>
      <c r="D1390">
        <v>275406.49</v>
      </c>
      <c r="I1390">
        <v>274780.49</v>
      </c>
    </row>
    <row r="1391" spans="1:12" x14ac:dyDescent="0.2">
      <c r="A1391" t="s">
        <v>37</v>
      </c>
      <c r="B1391" t="s">
        <v>115</v>
      </c>
      <c r="C1391" t="s">
        <v>195</v>
      </c>
      <c r="D1391">
        <v>1233674.75</v>
      </c>
      <c r="E1391">
        <v>1174620.75</v>
      </c>
      <c r="F1391">
        <v>1173221.1499999999</v>
      </c>
      <c r="G1391">
        <v>1172204.01</v>
      </c>
      <c r="I1391">
        <v>546510.44999999995</v>
      </c>
      <c r="J1391">
        <v>949481.93</v>
      </c>
      <c r="K1391">
        <v>1012038.83</v>
      </c>
      <c r="L1391">
        <v>1036082.08</v>
      </c>
    </row>
    <row r="1392" spans="1:12" x14ac:dyDescent="0.2">
      <c r="A1392" t="s">
        <v>37</v>
      </c>
      <c r="B1392" t="s">
        <v>115</v>
      </c>
      <c r="C1392" t="s">
        <v>196</v>
      </c>
      <c r="D1392">
        <v>1219220.7</v>
      </c>
      <c r="E1392">
        <v>1192357.6000000001</v>
      </c>
      <c r="F1392">
        <v>1191603.81</v>
      </c>
      <c r="I1392">
        <v>651702.52</v>
      </c>
      <c r="J1392">
        <v>1014417.42</v>
      </c>
      <c r="K1392">
        <v>1059335.25</v>
      </c>
    </row>
    <row r="1393" spans="1:12" x14ac:dyDescent="0.2">
      <c r="A1393" t="s">
        <v>37</v>
      </c>
      <c r="B1393" t="s">
        <v>115</v>
      </c>
      <c r="C1393" t="s">
        <v>197</v>
      </c>
      <c r="D1393">
        <v>1306627.5900000001</v>
      </c>
      <c r="E1393">
        <v>1265014.8999999999</v>
      </c>
      <c r="I1393">
        <v>652251.87</v>
      </c>
      <c r="J1393">
        <v>1042808.03</v>
      </c>
    </row>
    <row r="1394" spans="1:12" x14ac:dyDescent="0.2">
      <c r="A1394" t="s">
        <v>37</v>
      </c>
      <c r="B1394" t="s">
        <v>115</v>
      </c>
      <c r="C1394" t="s">
        <v>198</v>
      </c>
      <c r="D1394">
        <v>1284464.02</v>
      </c>
      <c r="I1394">
        <v>657573.25</v>
      </c>
    </row>
    <row r="1395" spans="1:12" x14ac:dyDescent="0.2">
      <c r="A1395" t="s">
        <v>37</v>
      </c>
      <c r="B1395" t="s">
        <v>113</v>
      </c>
      <c r="C1395" t="s">
        <v>195</v>
      </c>
      <c r="D1395">
        <v>111589.5</v>
      </c>
      <c r="E1395">
        <v>111034.5</v>
      </c>
      <c r="F1395">
        <v>111034.5</v>
      </c>
      <c r="G1395">
        <v>111034.5</v>
      </c>
      <c r="I1395">
        <v>109461.5</v>
      </c>
      <c r="J1395">
        <v>110078.5</v>
      </c>
      <c r="K1395">
        <v>110078.5</v>
      </c>
      <c r="L1395">
        <v>110078.5</v>
      </c>
    </row>
    <row r="1396" spans="1:12" x14ac:dyDescent="0.2">
      <c r="A1396" t="s">
        <v>37</v>
      </c>
      <c r="B1396" t="s">
        <v>113</v>
      </c>
      <c r="C1396" t="s">
        <v>196</v>
      </c>
      <c r="D1396">
        <v>121709.49</v>
      </c>
      <c r="E1396">
        <v>120964.49</v>
      </c>
      <c r="F1396">
        <v>120964.49</v>
      </c>
      <c r="I1396">
        <v>118216.49</v>
      </c>
      <c r="J1396">
        <v>118366.49</v>
      </c>
      <c r="K1396">
        <v>118366.49</v>
      </c>
    </row>
    <row r="1397" spans="1:12" x14ac:dyDescent="0.2">
      <c r="A1397" t="s">
        <v>37</v>
      </c>
      <c r="B1397" t="s">
        <v>113</v>
      </c>
      <c r="C1397" t="s">
        <v>197</v>
      </c>
      <c r="D1397">
        <v>121319</v>
      </c>
      <c r="E1397">
        <v>121319</v>
      </c>
      <c r="I1397">
        <v>118776</v>
      </c>
      <c r="J1397">
        <v>118784</v>
      </c>
    </row>
    <row r="1398" spans="1:12" x14ac:dyDescent="0.2">
      <c r="A1398" t="s">
        <v>37</v>
      </c>
      <c r="B1398" t="s">
        <v>113</v>
      </c>
      <c r="C1398" t="s">
        <v>198</v>
      </c>
      <c r="D1398">
        <v>101818</v>
      </c>
      <c r="I1398">
        <v>99923</v>
      </c>
    </row>
    <row r="1399" spans="1:12" x14ac:dyDescent="0.2">
      <c r="A1399" t="s">
        <v>37</v>
      </c>
      <c r="B1399" t="s">
        <v>72</v>
      </c>
      <c r="C1399" t="s">
        <v>195</v>
      </c>
      <c r="D1399">
        <v>174567.55</v>
      </c>
      <c r="E1399">
        <v>169530.05</v>
      </c>
      <c r="F1399">
        <v>167952.55</v>
      </c>
      <c r="G1399">
        <v>167952.55</v>
      </c>
      <c r="I1399">
        <v>152672.74</v>
      </c>
      <c r="J1399">
        <v>158056.78</v>
      </c>
      <c r="K1399">
        <v>158206.78</v>
      </c>
      <c r="L1399">
        <v>158241.34</v>
      </c>
    </row>
    <row r="1400" spans="1:12" x14ac:dyDescent="0.2">
      <c r="A1400" t="s">
        <v>37</v>
      </c>
      <c r="B1400" t="s">
        <v>72</v>
      </c>
      <c r="C1400" t="s">
        <v>196</v>
      </c>
      <c r="D1400">
        <v>188712.49</v>
      </c>
      <c r="E1400">
        <v>182958.99</v>
      </c>
      <c r="F1400">
        <v>182113.99</v>
      </c>
      <c r="I1400">
        <v>166315.69</v>
      </c>
      <c r="J1400">
        <v>172597.69</v>
      </c>
      <c r="K1400">
        <v>172917.28</v>
      </c>
    </row>
    <row r="1401" spans="1:12" x14ac:dyDescent="0.2">
      <c r="A1401" t="s">
        <v>37</v>
      </c>
      <c r="B1401" t="s">
        <v>72</v>
      </c>
      <c r="C1401" t="s">
        <v>197</v>
      </c>
      <c r="D1401">
        <v>207428.89</v>
      </c>
      <c r="E1401">
        <v>206151.39</v>
      </c>
      <c r="I1401">
        <v>178236.89</v>
      </c>
      <c r="J1401">
        <v>182751.89</v>
      </c>
    </row>
    <row r="1402" spans="1:12" x14ac:dyDescent="0.2">
      <c r="A1402" t="s">
        <v>37</v>
      </c>
      <c r="B1402" t="s">
        <v>72</v>
      </c>
      <c r="C1402" t="s">
        <v>198</v>
      </c>
      <c r="D1402">
        <v>167118.26</v>
      </c>
      <c r="I1402">
        <v>137047.81</v>
      </c>
    </row>
    <row r="1403" spans="1:12" x14ac:dyDescent="0.2">
      <c r="A1403" t="s">
        <v>38</v>
      </c>
      <c r="B1403" t="s">
        <v>109</v>
      </c>
      <c r="C1403" t="s">
        <v>195</v>
      </c>
      <c r="D1403">
        <v>755710</v>
      </c>
      <c r="E1403">
        <v>759874</v>
      </c>
      <c r="F1403">
        <v>760128</v>
      </c>
      <c r="G1403">
        <v>759349</v>
      </c>
      <c r="I1403">
        <v>19473</v>
      </c>
      <c r="J1403">
        <v>61204</v>
      </c>
      <c r="K1403">
        <v>83769</v>
      </c>
      <c r="L1403">
        <v>105626</v>
      </c>
    </row>
    <row r="1404" spans="1:12" x14ac:dyDescent="0.2">
      <c r="A1404" t="s">
        <v>38</v>
      </c>
      <c r="B1404" t="s">
        <v>109</v>
      </c>
      <c r="C1404" t="s">
        <v>196</v>
      </c>
      <c r="D1404">
        <v>1253758</v>
      </c>
      <c r="E1404">
        <v>1255121</v>
      </c>
      <c r="F1404">
        <v>1253817</v>
      </c>
      <c r="I1404">
        <v>28286</v>
      </c>
      <c r="J1404">
        <v>67579</v>
      </c>
      <c r="K1404">
        <v>95248</v>
      </c>
    </row>
    <row r="1405" spans="1:12" x14ac:dyDescent="0.2">
      <c r="A1405" t="s">
        <v>38</v>
      </c>
      <c r="B1405" t="s">
        <v>109</v>
      </c>
      <c r="C1405" t="s">
        <v>197</v>
      </c>
      <c r="D1405">
        <v>1028266</v>
      </c>
      <c r="E1405">
        <v>1033712</v>
      </c>
      <c r="I1405">
        <v>19180</v>
      </c>
      <c r="J1405">
        <v>51636</v>
      </c>
    </row>
    <row r="1406" spans="1:12" x14ac:dyDescent="0.2">
      <c r="A1406" t="s">
        <v>38</v>
      </c>
      <c r="B1406" t="s">
        <v>109</v>
      </c>
      <c r="C1406" t="s">
        <v>198</v>
      </c>
      <c r="D1406">
        <v>1447003</v>
      </c>
      <c r="I1406">
        <v>17917</v>
      </c>
    </row>
    <row r="1407" spans="1:12" x14ac:dyDescent="0.2">
      <c r="A1407" t="s">
        <v>38</v>
      </c>
      <c r="B1407" t="s">
        <v>145</v>
      </c>
      <c r="C1407" t="s">
        <v>195</v>
      </c>
      <c r="D1407">
        <v>212734</v>
      </c>
      <c r="E1407">
        <v>212734</v>
      </c>
      <c r="F1407">
        <v>212734</v>
      </c>
      <c r="G1407">
        <v>212734</v>
      </c>
      <c r="I1407">
        <v>22</v>
      </c>
      <c r="J1407">
        <v>32</v>
      </c>
      <c r="K1407">
        <v>32</v>
      </c>
      <c r="L1407">
        <v>32</v>
      </c>
    </row>
    <row r="1408" spans="1:12" x14ac:dyDescent="0.2">
      <c r="A1408" t="s">
        <v>38</v>
      </c>
      <c r="B1408" t="s">
        <v>145</v>
      </c>
      <c r="C1408" t="s">
        <v>196</v>
      </c>
      <c r="D1408">
        <v>687732</v>
      </c>
      <c r="E1408">
        <v>687736</v>
      </c>
      <c r="F1408">
        <v>687736</v>
      </c>
      <c r="I1408">
        <v>21</v>
      </c>
      <c r="J1408">
        <v>21</v>
      </c>
      <c r="K1408">
        <v>21</v>
      </c>
    </row>
    <row r="1409" spans="1:12" x14ac:dyDescent="0.2">
      <c r="A1409" t="s">
        <v>38</v>
      </c>
      <c r="B1409" t="s">
        <v>145</v>
      </c>
      <c r="C1409" t="s">
        <v>197</v>
      </c>
      <c r="D1409">
        <v>486012</v>
      </c>
      <c r="E1409">
        <v>486679</v>
      </c>
      <c r="I1409">
        <v>202</v>
      </c>
      <c r="J1409">
        <v>152</v>
      </c>
    </row>
    <row r="1410" spans="1:12" x14ac:dyDescent="0.2">
      <c r="A1410" t="s">
        <v>38</v>
      </c>
      <c r="B1410" t="s">
        <v>145</v>
      </c>
      <c r="C1410" t="s">
        <v>198</v>
      </c>
      <c r="D1410">
        <v>998299</v>
      </c>
      <c r="I1410">
        <v>112</v>
      </c>
    </row>
    <row r="1411" spans="1:12" x14ac:dyDescent="0.2">
      <c r="A1411" t="s">
        <v>38</v>
      </c>
      <c r="B1411" t="s">
        <v>110</v>
      </c>
      <c r="C1411" t="s">
        <v>195</v>
      </c>
      <c r="D1411">
        <v>435747</v>
      </c>
      <c r="E1411">
        <v>414079</v>
      </c>
      <c r="F1411">
        <v>406841</v>
      </c>
      <c r="G1411">
        <v>403745</v>
      </c>
      <c r="I1411">
        <v>68144</v>
      </c>
      <c r="J1411">
        <v>125159</v>
      </c>
      <c r="K1411">
        <v>156102</v>
      </c>
      <c r="L1411">
        <v>169024</v>
      </c>
    </row>
    <row r="1412" spans="1:12" x14ac:dyDescent="0.2">
      <c r="A1412" t="s">
        <v>38</v>
      </c>
      <c r="B1412" t="s">
        <v>110</v>
      </c>
      <c r="C1412" t="s">
        <v>196</v>
      </c>
      <c r="D1412">
        <v>466210</v>
      </c>
      <c r="E1412">
        <v>446377</v>
      </c>
      <c r="F1412">
        <v>441198</v>
      </c>
      <c r="I1412">
        <v>84619</v>
      </c>
      <c r="J1412">
        <v>151003</v>
      </c>
      <c r="K1412">
        <v>183370</v>
      </c>
    </row>
    <row r="1413" spans="1:12" x14ac:dyDescent="0.2">
      <c r="A1413" t="s">
        <v>38</v>
      </c>
      <c r="B1413" t="s">
        <v>110</v>
      </c>
      <c r="C1413" t="s">
        <v>197</v>
      </c>
      <c r="D1413">
        <v>465124</v>
      </c>
      <c r="E1413">
        <v>452437</v>
      </c>
      <c r="I1413">
        <v>87469</v>
      </c>
      <c r="J1413">
        <v>142030</v>
      </c>
    </row>
    <row r="1414" spans="1:12" x14ac:dyDescent="0.2">
      <c r="A1414" t="s">
        <v>38</v>
      </c>
      <c r="B1414" t="s">
        <v>110</v>
      </c>
      <c r="C1414" t="s">
        <v>198</v>
      </c>
      <c r="D1414">
        <v>425717</v>
      </c>
      <c r="I1414">
        <v>61747</v>
      </c>
    </row>
    <row r="1415" spans="1:12" x14ac:dyDescent="0.2">
      <c r="A1415" t="s">
        <v>38</v>
      </c>
      <c r="B1415" t="s">
        <v>116</v>
      </c>
      <c r="C1415" t="s">
        <v>195</v>
      </c>
      <c r="D1415">
        <v>28001</v>
      </c>
      <c r="E1415">
        <v>27664</v>
      </c>
      <c r="F1415">
        <v>27664</v>
      </c>
      <c r="G1415">
        <v>27664</v>
      </c>
      <c r="I1415">
        <v>1357</v>
      </c>
      <c r="J1415">
        <v>3464</v>
      </c>
      <c r="K1415">
        <v>3880</v>
      </c>
      <c r="L1415">
        <v>3883</v>
      </c>
    </row>
    <row r="1416" spans="1:12" x14ac:dyDescent="0.2">
      <c r="A1416" t="s">
        <v>38</v>
      </c>
      <c r="B1416" t="s">
        <v>116</v>
      </c>
      <c r="C1416" t="s">
        <v>196</v>
      </c>
      <c r="D1416">
        <v>29119</v>
      </c>
      <c r="E1416">
        <v>29119</v>
      </c>
      <c r="F1416">
        <v>29456</v>
      </c>
      <c r="I1416">
        <v>734</v>
      </c>
      <c r="J1416">
        <v>2041</v>
      </c>
      <c r="K1416">
        <v>2990</v>
      </c>
    </row>
    <row r="1417" spans="1:12" x14ac:dyDescent="0.2">
      <c r="A1417" t="s">
        <v>38</v>
      </c>
      <c r="B1417" t="s">
        <v>116</v>
      </c>
      <c r="C1417" t="s">
        <v>197</v>
      </c>
      <c r="D1417">
        <v>24051</v>
      </c>
      <c r="E1417">
        <v>24658</v>
      </c>
      <c r="I1417">
        <v>1280</v>
      </c>
      <c r="J1417">
        <v>3345</v>
      </c>
    </row>
    <row r="1418" spans="1:12" x14ac:dyDescent="0.2">
      <c r="A1418" t="s">
        <v>38</v>
      </c>
      <c r="B1418" t="s">
        <v>116</v>
      </c>
      <c r="C1418" t="s">
        <v>198</v>
      </c>
      <c r="D1418">
        <v>24310</v>
      </c>
      <c r="I1418">
        <v>1466</v>
      </c>
    </row>
    <row r="1419" spans="1:12" x14ac:dyDescent="0.2">
      <c r="A1419" t="s">
        <v>38</v>
      </c>
      <c r="B1419" t="s">
        <v>114</v>
      </c>
      <c r="C1419" t="s">
        <v>195</v>
      </c>
      <c r="D1419">
        <v>812413</v>
      </c>
      <c r="E1419">
        <v>809502</v>
      </c>
      <c r="F1419">
        <v>801630</v>
      </c>
      <c r="G1419">
        <v>796523</v>
      </c>
      <c r="I1419">
        <v>277899</v>
      </c>
      <c r="J1419">
        <v>412214</v>
      </c>
      <c r="K1419">
        <v>504703</v>
      </c>
      <c r="L1419">
        <v>546140</v>
      </c>
    </row>
    <row r="1420" spans="1:12" x14ac:dyDescent="0.2">
      <c r="A1420" t="s">
        <v>38</v>
      </c>
      <c r="B1420" t="s">
        <v>114</v>
      </c>
      <c r="C1420" t="s">
        <v>196</v>
      </c>
      <c r="D1420">
        <v>995299</v>
      </c>
      <c r="E1420">
        <v>981272</v>
      </c>
      <c r="F1420">
        <v>976544</v>
      </c>
      <c r="I1420">
        <v>316473</v>
      </c>
      <c r="J1420">
        <v>466716</v>
      </c>
      <c r="K1420">
        <v>557365</v>
      </c>
    </row>
    <row r="1421" spans="1:12" x14ac:dyDescent="0.2">
      <c r="A1421" t="s">
        <v>38</v>
      </c>
      <c r="B1421" t="s">
        <v>114</v>
      </c>
      <c r="C1421" t="s">
        <v>197</v>
      </c>
      <c r="D1421">
        <v>865695</v>
      </c>
      <c r="E1421">
        <v>865178</v>
      </c>
      <c r="I1421">
        <v>274639</v>
      </c>
      <c r="J1421">
        <v>396221</v>
      </c>
    </row>
    <row r="1422" spans="1:12" x14ac:dyDescent="0.2">
      <c r="A1422" t="s">
        <v>38</v>
      </c>
      <c r="B1422" t="s">
        <v>114</v>
      </c>
      <c r="C1422" t="s">
        <v>198</v>
      </c>
      <c r="D1422">
        <v>858846</v>
      </c>
      <c r="I1422">
        <v>264758</v>
      </c>
    </row>
    <row r="1423" spans="1:12" x14ac:dyDescent="0.2">
      <c r="A1423" t="s">
        <v>38</v>
      </c>
      <c r="B1423" t="s">
        <v>111</v>
      </c>
      <c r="C1423" t="s">
        <v>195</v>
      </c>
      <c r="D1423">
        <v>1045344</v>
      </c>
      <c r="E1423">
        <v>1040068</v>
      </c>
      <c r="F1423">
        <v>1038758</v>
      </c>
      <c r="G1423">
        <v>1038629</v>
      </c>
      <c r="I1423">
        <v>1028882</v>
      </c>
      <c r="J1423">
        <v>1027109</v>
      </c>
      <c r="K1423">
        <v>1026415</v>
      </c>
      <c r="L1423">
        <v>1026879</v>
      </c>
    </row>
    <row r="1424" spans="1:12" x14ac:dyDescent="0.2">
      <c r="A1424" t="s">
        <v>38</v>
      </c>
      <c r="B1424" t="s">
        <v>111</v>
      </c>
      <c r="C1424" t="s">
        <v>196</v>
      </c>
      <c r="D1424">
        <v>960817</v>
      </c>
      <c r="E1424">
        <v>959145</v>
      </c>
      <c r="F1424">
        <v>956853</v>
      </c>
      <c r="I1424">
        <v>951842</v>
      </c>
      <c r="J1424">
        <v>952991</v>
      </c>
      <c r="K1424">
        <v>951167</v>
      </c>
    </row>
    <row r="1425" spans="1:12" x14ac:dyDescent="0.2">
      <c r="A1425" t="s">
        <v>38</v>
      </c>
      <c r="B1425" t="s">
        <v>111</v>
      </c>
      <c r="C1425" t="s">
        <v>197</v>
      </c>
      <c r="D1425">
        <v>983706</v>
      </c>
      <c r="E1425">
        <v>980433</v>
      </c>
      <c r="I1425">
        <v>965142</v>
      </c>
      <c r="J1425">
        <v>966356</v>
      </c>
    </row>
    <row r="1426" spans="1:12" x14ac:dyDescent="0.2">
      <c r="A1426" t="s">
        <v>38</v>
      </c>
      <c r="B1426" t="s">
        <v>111</v>
      </c>
      <c r="C1426" t="s">
        <v>198</v>
      </c>
      <c r="D1426">
        <v>820853</v>
      </c>
      <c r="I1426">
        <v>809431</v>
      </c>
    </row>
    <row r="1427" spans="1:12" x14ac:dyDescent="0.2">
      <c r="A1427" t="s">
        <v>38</v>
      </c>
      <c r="B1427" t="s">
        <v>112</v>
      </c>
      <c r="C1427" t="s">
        <v>195</v>
      </c>
      <c r="D1427">
        <v>567861</v>
      </c>
      <c r="E1427">
        <v>567033</v>
      </c>
      <c r="F1427">
        <v>566752</v>
      </c>
      <c r="G1427">
        <v>566752</v>
      </c>
      <c r="I1427">
        <v>563949</v>
      </c>
      <c r="J1427">
        <v>564438</v>
      </c>
      <c r="K1427">
        <v>564488</v>
      </c>
      <c r="L1427">
        <v>564519</v>
      </c>
    </row>
    <row r="1428" spans="1:12" x14ac:dyDescent="0.2">
      <c r="A1428" t="s">
        <v>38</v>
      </c>
      <c r="B1428" t="s">
        <v>112</v>
      </c>
      <c r="C1428" t="s">
        <v>196</v>
      </c>
      <c r="D1428">
        <v>599493</v>
      </c>
      <c r="E1428">
        <v>598723</v>
      </c>
      <c r="F1428">
        <v>598713</v>
      </c>
      <c r="I1428">
        <v>597950</v>
      </c>
      <c r="J1428">
        <v>597886</v>
      </c>
      <c r="K1428">
        <v>597926</v>
      </c>
    </row>
    <row r="1429" spans="1:12" x14ac:dyDescent="0.2">
      <c r="A1429" t="s">
        <v>38</v>
      </c>
      <c r="B1429" t="s">
        <v>112</v>
      </c>
      <c r="C1429" t="s">
        <v>197</v>
      </c>
      <c r="D1429">
        <v>594651</v>
      </c>
      <c r="E1429">
        <v>594277</v>
      </c>
      <c r="I1429">
        <v>592633</v>
      </c>
      <c r="J1429">
        <v>592683</v>
      </c>
    </row>
    <row r="1430" spans="1:12" x14ac:dyDescent="0.2">
      <c r="A1430" t="s">
        <v>38</v>
      </c>
      <c r="B1430" t="s">
        <v>112</v>
      </c>
      <c r="C1430" t="s">
        <v>198</v>
      </c>
      <c r="D1430">
        <v>549966</v>
      </c>
      <c r="I1430">
        <v>548062</v>
      </c>
    </row>
    <row r="1431" spans="1:12" x14ac:dyDescent="0.2">
      <c r="A1431" t="s">
        <v>38</v>
      </c>
      <c r="B1431" t="s">
        <v>115</v>
      </c>
      <c r="C1431" t="s">
        <v>195</v>
      </c>
      <c r="D1431">
        <v>4399864</v>
      </c>
      <c r="E1431">
        <v>3448153</v>
      </c>
      <c r="F1431">
        <v>3294051</v>
      </c>
      <c r="G1431">
        <v>3249767</v>
      </c>
      <c r="I1431">
        <v>1600765</v>
      </c>
      <c r="J1431">
        <v>2344684</v>
      </c>
      <c r="K1431">
        <v>2496435</v>
      </c>
      <c r="L1431">
        <v>2565592</v>
      </c>
    </row>
    <row r="1432" spans="1:12" x14ac:dyDescent="0.2">
      <c r="A1432" t="s">
        <v>38</v>
      </c>
      <c r="B1432" t="s">
        <v>115</v>
      </c>
      <c r="C1432" t="s">
        <v>196</v>
      </c>
      <c r="D1432">
        <v>4791576</v>
      </c>
      <c r="E1432">
        <v>3801105</v>
      </c>
      <c r="F1432">
        <v>3626800</v>
      </c>
      <c r="I1432">
        <v>1967878</v>
      </c>
      <c r="J1432">
        <v>2625998</v>
      </c>
      <c r="K1432">
        <v>2768269</v>
      </c>
    </row>
    <row r="1433" spans="1:12" x14ac:dyDescent="0.2">
      <c r="A1433" t="s">
        <v>38</v>
      </c>
      <c r="B1433" t="s">
        <v>115</v>
      </c>
      <c r="C1433" t="s">
        <v>197</v>
      </c>
      <c r="D1433">
        <v>4594432</v>
      </c>
      <c r="E1433">
        <v>3603838</v>
      </c>
      <c r="I1433">
        <v>1639194</v>
      </c>
      <c r="J1433">
        <v>2257769</v>
      </c>
    </row>
    <row r="1434" spans="1:12" x14ac:dyDescent="0.2">
      <c r="A1434" t="s">
        <v>38</v>
      </c>
      <c r="B1434" t="s">
        <v>115</v>
      </c>
      <c r="C1434" t="s">
        <v>198</v>
      </c>
      <c r="D1434">
        <v>5130490</v>
      </c>
      <c r="I1434">
        <v>1688184</v>
      </c>
    </row>
    <row r="1435" spans="1:12" x14ac:dyDescent="0.2">
      <c r="A1435" t="s">
        <v>38</v>
      </c>
      <c r="B1435" t="s">
        <v>113</v>
      </c>
      <c r="C1435" t="s">
        <v>195</v>
      </c>
      <c r="D1435">
        <v>255523</v>
      </c>
      <c r="E1435">
        <v>254236</v>
      </c>
      <c r="F1435">
        <v>253260</v>
      </c>
      <c r="G1435">
        <v>253260</v>
      </c>
      <c r="I1435">
        <v>252746</v>
      </c>
      <c r="J1435">
        <v>252471</v>
      </c>
      <c r="K1435">
        <v>252240</v>
      </c>
      <c r="L1435">
        <v>252471</v>
      </c>
    </row>
    <row r="1436" spans="1:12" x14ac:dyDescent="0.2">
      <c r="A1436" t="s">
        <v>38</v>
      </c>
      <c r="B1436" t="s">
        <v>113</v>
      </c>
      <c r="C1436" t="s">
        <v>196</v>
      </c>
      <c r="D1436">
        <v>297633</v>
      </c>
      <c r="E1436">
        <v>294326</v>
      </c>
      <c r="F1436">
        <v>291305</v>
      </c>
      <c r="I1436">
        <v>287342</v>
      </c>
      <c r="J1436">
        <v>287810</v>
      </c>
      <c r="K1436">
        <v>287760</v>
      </c>
    </row>
    <row r="1437" spans="1:12" x14ac:dyDescent="0.2">
      <c r="A1437" t="s">
        <v>38</v>
      </c>
      <c r="B1437" t="s">
        <v>113</v>
      </c>
      <c r="C1437" t="s">
        <v>197</v>
      </c>
      <c r="D1437">
        <v>300111</v>
      </c>
      <c r="E1437">
        <v>297673</v>
      </c>
      <c r="I1437">
        <v>294426</v>
      </c>
      <c r="J1437">
        <v>295922</v>
      </c>
    </row>
    <row r="1438" spans="1:12" x14ac:dyDescent="0.2">
      <c r="A1438" t="s">
        <v>38</v>
      </c>
      <c r="B1438" t="s">
        <v>113</v>
      </c>
      <c r="C1438" t="s">
        <v>198</v>
      </c>
      <c r="D1438">
        <v>226829</v>
      </c>
      <c r="I1438">
        <v>223768</v>
      </c>
    </row>
    <row r="1439" spans="1:12" x14ac:dyDescent="0.2">
      <c r="A1439" t="s">
        <v>38</v>
      </c>
      <c r="B1439" t="s">
        <v>72</v>
      </c>
      <c r="C1439" t="s">
        <v>195</v>
      </c>
      <c r="D1439">
        <v>437633</v>
      </c>
      <c r="E1439">
        <v>431355</v>
      </c>
      <c r="F1439">
        <v>430326</v>
      </c>
      <c r="G1439">
        <v>429286</v>
      </c>
      <c r="I1439">
        <v>402245</v>
      </c>
      <c r="J1439">
        <v>414110</v>
      </c>
      <c r="K1439">
        <v>415025</v>
      </c>
      <c r="L1439">
        <v>414045</v>
      </c>
    </row>
    <row r="1440" spans="1:12" x14ac:dyDescent="0.2">
      <c r="A1440" t="s">
        <v>38</v>
      </c>
      <c r="B1440" t="s">
        <v>72</v>
      </c>
      <c r="C1440" t="s">
        <v>196</v>
      </c>
      <c r="D1440">
        <v>459901</v>
      </c>
      <c r="E1440">
        <v>452096</v>
      </c>
      <c r="F1440">
        <v>450978</v>
      </c>
      <c r="I1440">
        <v>434317</v>
      </c>
      <c r="J1440">
        <v>434572</v>
      </c>
      <c r="K1440">
        <v>434119</v>
      </c>
    </row>
    <row r="1441" spans="1:12" x14ac:dyDescent="0.2">
      <c r="A1441" t="s">
        <v>38</v>
      </c>
      <c r="B1441" t="s">
        <v>72</v>
      </c>
      <c r="C1441" t="s">
        <v>197</v>
      </c>
      <c r="D1441">
        <v>300111</v>
      </c>
      <c r="E1441">
        <v>457720</v>
      </c>
      <c r="I1441">
        <v>294426</v>
      </c>
      <c r="J1441">
        <v>443208</v>
      </c>
    </row>
    <row r="1442" spans="1:12" x14ac:dyDescent="0.2">
      <c r="A1442" t="s">
        <v>38</v>
      </c>
      <c r="B1442" t="s">
        <v>72</v>
      </c>
      <c r="C1442" t="s">
        <v>198</v>
      </c>
      <c r="D1442">
        <v>397024</v>
      </c>
      <c r="I1442">
        <v>377687</v>
      </c>
    </row>
    <row r="1443" spans="1:12" x14ac:dyDescent="0.2">
      <c r="A1443" t="s">
        <v>39</v>
      </c>
      <c r="B1443" t="s">
        <v>109</v>
      </c>
      <c r="C1443" t="s">
        <v>195</v>
      </c>
      <c r="D1443">
        <v>1103650.72</v>
      </c>
      <c r="E1443">
        <v>1100421.57</v>
      </c>
      <c r="F1443">
        <v>1095895.3999999999</v>
      </c>
      <c r="G1443">
        <v>1095362.58</v>
      </c>
      <c r="I1443">
        <v>74291.47</v>
      </c>
      <c r="J1443">
        <v>101679.78</v>
      </c>
      <c r="K1443">
        <v>128095.13</v>
      </c>
      <c r="L1443">
        <v>143916.42000000001</v>
      </c>
    </row>
    <row r="1444" spans="1:12" x14ac:dyDescent="0.2">
      <c r="A1444" t="s">
        <v>39</v>
      </c>
      <c r="B1444" t="s">
        <v>109</v>
      </c>
      <c r="C1444" t="s">
        <v>196</v>
      </c>
      <c r="D1444">
        <v>1309473.57</v>
      </c>
      <c r="E1444">
        <v>1454861.94</v>
      </c>
      <c r="F1444">
        <v>1451142.38</v>
      </c>
      <c r="I1444">
        <v>70939.81</v>
      </c>
      <c r="J1444">
        <v>100521.91</v>
      </c>
      <c r="K1444">
        <v>129393.72</v>
      </c>
    </row>
    <row r="1445" spans="1:12" x14ac:dyDescent="0.2">
      <c r="A1445" t="s">
        <v>39</v>
      </c>
      <c r="B1445" t="s">
        <v>109</v>
      </c>
      <c r="C1445" t="s">
        <v>197</v>
      </c>
      <c r="D1445">
        <v>817952.92</v>
      </c>
      <c r="E1445">
        <v>1375029.25</v>
      </c>
      <c r="I1445">
        <v>73483.38</v>
      </c>
      <c r="J1445">
        <v>103836.68</v>
      </c>
    </row>
    <row r="1446" spans="1:12" x14ac:dyDescent="0.2">
      <c r="A1446" t="s">
        <v>39</v>
      </c>
      <c r="B1446" t="s">
        <v>109</v>
      </c>
      <c r="C1446" t="s">
        <v>198</v>
      </c>
      <c r="D1446">
        <v>897643.41</v>
      </c>
      <c r="I1446">
        <v>58473.97</v>
      </c>
    </row>
    <row r="1447" spans="1:12" x14ac:dyDescent="0.2">
      <c r="A1447" t="s">
        <v>39</v>
      </c>
      <c r="B1447" t="s">
        <v>145</v>
      </c>
      <c r="C1447" t="s">
        <v>195</v>
      </c>
      <c r="D1447">
        <v>103753.83</v>
      </c>
      <c r="E1447">
        <v>103753.83</v>
      </c>
      <c r="F1447">
        <v>103753.83</v>
      </c>
      <c r="G1447">
        <v>103753.83</v>
      </c>
      <c r="I1447">
        <v>262</v>
      </c>
      <c r="J1447">
        <v>313</v>
      </c>
      <c r="K1447">
        <v>409.15</v>
      </c>
      <c r="L1447">
        <v>409.15</v>
      </c>
    </row>
    <row r="1448" spans="1:12" x14ac:dyDescent="0.2">
      <c r="A1448" t="s">
        <v>39</v>
      </c>
      <c r="B1448" t="s">
        <v>145</v>
      </c>
      <c r="C1448" t="s">
        <v>196</v>
      </c>
      <c r="D1448">
        <v>255363.13</v>
      </c>
      <c r="E1448">
        <v>309109.38</v>
      </c>
      <c r="F1448">
        <v>309109.38</v>
      </c>
      <c r="I1448">
        <v>203</v>
      </c>
      <c r="J1448">
        <v>353</v>
      </c>
      <c r="K1448">
        <v>653</v>
      </c>
    </row>
    <row r="1449" spans="1:12" x14ac:dyDescent="0.2">
      <c r="A1449" t="s">
        <v>39</v>
      </c>
      <c r="B1449" t="s">
        <v>145</v>
      </c>
      <c r="C1449" t="s">
        <v>197</v>
      </c>
      <c r="D1449">
        <v>56310.59</v>
      </c>
      <c r="E1449">
        <v>313976.58</v>
      </c>
      <c r="I1449">
        <v>605</v>
      </c>
      <c r="J1449">
        <v>605</v>
      </c>
    </row>
    <row r="1450" spans="1:12" x14ac:dyDescent="0.2">
      <c r="A1450" t="s">
        <v>39</v>
      </c>
      <c r="B1450" t="s">
        <v>145</v>
      </c>
      <c r="C1450" t="s">
        <v>198</v>
      </c>
      <c r="D1450">
        <v>110680.5</v>
      </c>
      <c r="I1450">
        <v>631</v>
      </c>
    </row>
    <row r="1451" spans="1:12" x14ac:dyDescent="0.2">
      <c r="A1451" t="s">
        <v>39</v>
      </c>
      <c r="B1451" t="s">
        <v>110</v>
      </c>
      <c r="C1451" t="s">
        <v>195</v>
      </c>
      <c r="D1451">
        <v>300067.21999999997</v>
      </c>
      <c r="E1451">
        <v>300069.13</v>
      </c>
      <c r="F1451">
        <v>298877.71999999997</v>
      </c>
      <c r="G1451">
        <v>298557.78999999998</v>
      </c>
      <c r="I1451">
        <v>81441.45</v>
      </c>
      <c r="J1451">
        <v>98910.51</v>
      </c>
      <c r="K1451">
        <v>106105.46</v>
      </c>
      <c r="L1451">
        <v>111426.13</v>
      </c>
    </row>
    <row r="1452" spans="1:12" x14ac:dyDescent="0.2">
      <c r="A1452" t="s">
        <v>39</v>
      </c>
      <c r="B1452" t="s">
        <v>110</v>
      </c>
      <c r="C1452" t="s">
        <v>196</v>
      </c>
      <c r="D1452">
        <v>326590.96000000002</v>
      </c>
      <c r="E1452">
        <v>345897.25</v>
      </c>
      <c r="F1452">
        <v>345515.57</v>
      </c>
      <c r="I1452">
        <v>102413.89</v>
      </c>
      <c r="J1452">
        <v>120188.65</v>
      </c>
      <c r="K1452">
        <v>128566</v>
      </c>
    </row>
    <row r="1453" spans="1:12" x14ac:dyDescent="0.2">
      <c r="A1453" t="s">
        <v>39</v>
      </c>
      <c r="B1453" t="s">
        <v>110</v>
      </c>
      <c r="C1453" t="s">
        <v>197</v>
      </c>
      <c r="D1453">
        <v>287494.61</v>
      </c>
      <c r="E1453">
        <v>360390.62</v>
      </c>
      <c r="I1453">
        <v>74357.58</v>
      </c>
      <c r="J1453">
        <v>96087.55</v>
      </c>
    </row>
    <row r="1454" spans="1:12" x14ac:dyDescent="0.2">
      <c r="A1454" t="s">
        <v>39</v>
      </c>
      <c r="B1454" t="s">
        <v>110</v>
      </c>
      <c r="C1454" t="s">
        <v>198</v>
      </c>
      <c r="D1454">
        <v>292428.25</v>
      </c>
      <c r="I1454">
        <v>70862.710000000006</v>
      </c>
    </row>
    <row r="1455" spans="1:12" x14ac:dyDescent="0.2">
      <c r="A1455" t="s">
        <v>39</v>
      </c>
      <c r="B1455" t="s">
        <v>116</v>
      </c>
      <c r="C1455" t="s">
        <v>195</v>
      </c>
      <c r="D1455">
        <v>23990</v>
      </c>
      <c r="E1455">
        <v>23990</v>
      </c>
      <c r="F1455">
        <v>23890</v>
      </c>
      <c r="G1455">
        <v>23840</v>
      </c>
      <c r="I1455">
        <v>413</v>
      </c>
      <c r="J1455">
        <v>1595</v>
      </c>
      <c r="K1455">
        <v>2378</v>
      </c>
      <c r="L1455">
        <v>3648</v>
      </c>
    </row>
    <row r="1456" spans="1:12" x14ac:dyDescent="0.2">
      <c r="A1456" t="s">
        <v>39</v>
      </c>
      <c r="B1456" t="s">
        <v>116</v>
      </c>
      <c r="C1456" t="s">
        <v>196</v>
      </c>
      <c r="D1456">
        <v>25778.2</v>
      </c>
      <c r="E1456">
        <v>25078.02</v>
      </c>
      <c r="F1456">
        <v>24878.2</v>
      </c>
      <c r="I1456">
        <v>1587.2</v>
      </c>
      <c r="J1456">
        <v>1587.2</v>
      </c>
      <c r="K1456">
        <v>4970.2</v>
      </c>
    </row>
    <row r="1457" spans="1:12" x14ac:dyDescent="0.2">
      <c r="A1457" t="s">
        <v>39</v>
      </c>
      <c r="B1457" t="s">
        <v>116</v>
      </c>
      <c r="C1457" t="s">
        <v>197</v>
      </c>
      <c r="D1457">
        <v>26311</v>
      </c>
      <c r="E1457">
        <v>25761</v>
      </c>
      <c r="I1457">
        <v>1655</v>
      </c>
      <c r="J1457">
        <v>3345</v>
      </c>
    </row>
    <row r="1458" spans="1:12" x14ac:dyDescent="0.2">
      <c r="A1458" t="s">
        <v>39</v>
      </c>
      <c r="B1458" t="s">
        <v>116</v>
      </c>
      <c r="C1458" t="s">
        <v>198</v>
      </c>
      <c r="D1458">
        <v>11747</v>
      </c>
      <c r="I1458">
        <v>728</v>
      </c>
    </row>
    <row r="1459" spans="1:12" x14ac:dyDescent="0.2">
      <c r="A1459" t="s">
        <v>39</v>
      </c>
      <c r="B1459" t="s">
        <v>114</v>
      </c>
      <c r="C1459" t="s">
        <v>195</v>
      </c>
      <c r="D1459">
        <v>302127.86</v>
      </c>
      <c r="E1459">
        <v>300343.03000000003</v>
      </c>
      <c r="F1459">
        <v>300199.03000000003</v>
      </c>
      <c r="G1459">
        <v>299856.43</v>
      </c>
      <c r="I1459">
        <v>75023.38</v>
      </c>
      <c r="J1459">
        <v>104701.14</v>
      </c>
      <c r="K1459">
        <v>118379.04</v>
      </c>
      <c r="L1459">
        <v>127590.24</v>
      </c>
    </row>
    <row r="1460" spans="1:12" x14ac:dyDescent="0.2">
      <c r="A1460" t="s">
        <v>39</v>
      </c>
      <c r="B1460" t="s">
        <v>114</v>
      </c>
      <c r="C1460" t="s">
        <v>196</v>
      </c>
      <c r="D1460">
        <v>276084.3</v>
      </c>
      <c r="E1460">
        <v>286131.15000000002</v>
      </c>
      <c r="F1460">
        <v>285973.59999999998</v>
      </c>
      <c r="I1460">
        <v>87898.880000000005</v>
      </c>
      <c r="J1460">
        <v>112130.54</v>
      </c>
      <c r="K1460">
        <v>124807.78</v>
      </c>
    </row>
    <row r="1461" spans="1:12" x14ac:dyDescent="0.2">
      <c r="A1461" t="s">
        <v>39</v>
      </c>
      <c r="B1461" t="s">
        <v>114</v>
      </c>
      <c r="C1461" t="s">
        <v>197</v>
      </c>
      <c r="D1461">
        <v>329200.28000000003</v>
      </c>
      <c r="E1461">
        <v>355288.15</v>
      </c>
      <c r="I1461">
        <v>93368.63</v>
      </c>
      <c r="J1461">
        <v>118642.38</v>
      </c>
    </row>
    <row r="1462" spans="1:12" x14ac:dyDescent="0.2">
      <c r="A1462" t="s">
        <v>39</v>
      </c>
      <c r="B1462" t="s">
        <v>114</v>
      </c>
      <c r="C1462" t="s">
        <v>198</v>
      </c>
      <c r="D1462">
        <v>311480.02</v>
      </c>
      <c r="I1462">
        <v>70286.759999999995</v>
      </c>
    </row>
    <row r="1463" spans="1:12" x14ac:dyDescent="0.2">
      <c r="A1463" t="s">
        <v>39</v>
      </c>
      <c r="B1463" t="s">
        <v>111</v>
      </c>
      <c r="C1463" t="s">
        <v>195</v>
      </c>
      <c r="D1463">
        <v>368865.37</v>
      </c>
      <c r="E1463">
        <v>359552.87</v>
      </c>
      <c r="F1463">
        <v>359401.87</v>
      </c>
      <c r="G1463">
        <v>359359.37</v>
      </c>
      <c r="I1463">
        <v>302334.8</v>
      </c>
      <c r="J1463">
        <v>309301.7</v>
      </c>
      <c r="K1463">
        <v>311400.38</v>
      </c>
      <c r="L1463">
        <v>312520.45</v>
      </c>
    </row>
    <row r="1464" spans="1:12" x14ac:dyDescent="0.2">
      <c r="A1464" t="s">
        <v>39</v>
      </c>
      <c r="B1464" t="s">
        <v>111</v>
      </c>
      <c r="C1464" t="s">
        <v>196</v>
      </c>
      <c r="D1464">
        <v>463440.84</v>
      </c>
      <c r="E1464">
        <v>460615.84</v>
      </c>
      <c r="F1464">
        <v>460615.84</v>
      </c>
      <c r="I1464">
        <v>414326.34</v>
      </c>
      <c r="J1464">
        <v>422024.76</v>
      </c>
      <c r="K1464">
        <v>422387.25</v>
      </c>
    </row>
    <row r="1465" spans="1:12" x14ac:dyDescent="0.2">
      <c r="A1465" t="s">
        <v>39</v>
      </c>
      <c r="B1465" t="s">
        <v>111</v>
      </c>
      <c r="C1465" t="s">
        <v>197</v>
      </c>
      <c r="D1465">
        <v>470098.71</v>
      </c>
      <c r="E1465">
        <v>463477.71</v>
      </c>
      <c r="I1465">
        <v>413756.45</v>
      </c>
      <c r="J1465">
        <v>417431.26</v>
      </c>
    </row>
    <row r="1466" spans="1:12" x14ac:dyDescent="0.2">
      <c r="A1466" t="s">
        <v>39</v>
      </c>
      <c r="B1466" t="s">
        <v>111</v>
      </c>
      <c r="C1466" t="s">
        <v>198</v>
      </c>
      <c r="D1466">
        <v>414740.23</v>
      </c>
      <c r="I1466">
        <v>351476.34</v>
      </c>
    </row>
    <row r="1467" spans="1:12" x14ac:dyDescent="0.2">
      <c r="A1467" t="s">
        <v>39</v>
      </c>
      <c r="B1467" t="s">
        <v>112</v>
      </c>
      <c r="C1467" t="s">
        <v>195</v>
      </c>
      <c r="D1467">
        <v>306368.67</v>
      </c>
      <c r="E1467">
        <v>306368.67</v>
      </c>
      <c r="F1467">
        <v>306368.67</v>
      </c>
      <c r="G1467">
        <v>306368.67</v>
      </c>
      <c r="I1467">
        <v>303748.21999999997</v>
      </c>
      <c r="J1467">
        <v>304441.21999999997</v>
      </c>
      <c r="K1467">
        <v>304442.21999999997</v>
      </c>
      <c r="L1467">
        <v>304442.21999999997</v>
      </c>
    </row>
    <row r="1468" spans="1:12" x14ac:dyDescent="0.2">
      <c r="A1468" t="s">
        <v>39</v>
      </c>
      <c r="B1468" t="s">
        <v>112</v>
      </c>
      <c r="C1468" t="s">
        <v>196</v>
      </c>
      <c r="D1468">
        <v>314223.06</v>
      </c>
      <c r="E1468">
        <v>313979.06</v>
      </c>
      <c r="F1468">
        <v>313979.06</v>
      </c>
      <c r="I1468">
        <v>310494.24</v>
      </c>
      <c r="J1468">
        <v>312402.24</v>
      </c>
      <c r="K1468">
        <v>312596.24</v>
      </c>
    </row>
    <row r="1469" spans="1:12" x14ac:dyDescent="0.2">
      <c r="A1469" t="s">
        <v>39</v>
      </c>
      <c r="B1469" t="s">
        <v>112</v>
      </c>
      <c r="C1469" t="s">
        <v>197</v>
      </c>
      <c r="D1469">
        <v>341660.3</v>
      </c>
      <c r="E1469">
        <v>340504.3</v>
      </c>
      <c r="I1469">
        <v>336170.3</v>
      </c>
      <c r="J1469">
        <v>337764.3</v>
      </c>
    </row>
    <row r="1470" spans="1:12" x14ac:dyDescent="0.2">
      <c r="A1470" t="s">
        <v>39</v>
      </c>
      <c r="B1470" t="s">
        <v>112</v>
      </c>
      <c r="C1470" t="s">
        <v>198</v>
      </c>
      <c r="D1470">
        <v>351425.1</v>
      </c>
      <c r="I1470">
        <v>347428.85</v>
      </c>
    </row>
    <row r="1471" spans="1:12" x14ac:dyDescent="0.2">
      <c r="A1471" t="s">
        <v>39</v>
      </c>
      <c r="B1471" t="s">
        <v>115</v>
      </c>
      <c r="C1471" t="s">
        <v>195</v>
      </c>
      <c r="D1471">
        <v>1024087.51</v>
      </c>
      <c r="E1471">
        <v>967782.01</v>
      </c>
      <c r="F1471">
        <v>955672.01</v>
      </c>
      <c r="G1471">
        <v>953299.01</v>
      </c>
      <c r="I1471">
        <v>444042.81</v>
      </c>
      <c r="J1471">
        <v>773770.81</v>
      </c>
      <c r="K1471">
        <v>845049.09</v>
      </c>
      <c r="L1471">
        <v>859169.8</v>
      </c>
    </row>
    <row r="1472" spans="1:12" x14ac:dyDescent="0.2">
      <c r="A1472" t="s">
        <v>39</v>
      </c>
      <c r="B1472" t="s">
        <v>115</v>
      </c>
      <c r="C1472" t="s">
        <v>196</v>
      </c>
      <c r="D1472">
        <v>1470064.31</v>
      </c>
      <c r="E1472">
        <v>1402864.31</v>
      </c>
      <c r="F1472">
        <v>1386399.31</v>
      </c>
      <c r="I1472">
        <v>689260.51</v>
      </c>
      <c r="J1472">
        <v>1114130.93</v>
      </c>
      <c r="K1472">
        <v>1210440.3600000001</v>
      </c>
    </row>
    <row r="1473" spans="1:12" x14ac:dyDescent="0.2">
      <c r="A1473" t="s">
        <v>39</v>
      </c>
      <c r="B1473" t="s">
        <v>115</v>
      </c>
      <c r="C1473" t="s">
        <v>197</v>
      </c>
      <c r="D1473">
        <v>1263771</v>
      </c>
      <c r="E1473">
        <v>1208491.6499999999</v>
      </c>
      <c r="I1473">
        <v>616673.43000000005</v>
      </c>
      <c r="J1473">
        <v>934136.57</v>
      </c>
    </row>
    <row r="1474" spans="1:12" x14ac:dyDescent="0.2">
      <c r="A1474" t="s">
        <v>39</v>
      </c>
      <c r="B1474" t="s">
        <v>115</v>
      </c>
      <c r="C1474" t="s">
        <v>198</v>
      </c>
      <c r="D1474">
        <v>1467487.7</v>
      </c>
      <c r="I1474">
        <v>696508.2</v>
      </c>
    </row>
    <row r="1475" spans="1:12" x14ac:dyDescent="0.2">
      <c r="A1475" t="s">
        <v>39</v>
      </c>
      <c r="B1475" t="s">
        <v>113</v>
      </c>
      <c r="C1475" t="s">
        <v>195</v>
      </c>
      <c r="D1475">
        <v>71543.94</v>
      </c>
      <c r="E1475">
        <v>70963.94</v>
      </c>
      <c r="F1475">
        <v>70963.94</v>
      </c>
      <c r="G1475">
        <v>70963.94</v>
      </c>
      <c r="I1475">
        <v>68892.34</v>
      </c>
      <c r="J1475">
        <v>69722.34</v>
      </c>
      <c r="K1475">
        <v>69725.34</v>
      </c>
      <c r="L1475">
        <v>69725.34</v>
      </c>
    </row>
    <row r="1476" spans="1:12" x14ac:dyDescent="0.2">
      <c r="A1476" t="s">
        <v>39</v>
      </c>
      <c r="B1476" t="s">
        <v>113</v>
      </c>
      <c r="C1476" t="s">
        <v>196</v>
      </c>
      <c r="D1476">
        <v>88607.5</v>
      </c>
      <c r="E1476">
        <v>87777.5</v>
      </c>
      <c r="F1476">
        <v>87777.5</v>
      </c>
      <c r="I1476">
        <v>83521.5</v>
      </c>
      <c r="J1476">
        <v>85363.57</v>
      </c>
      <c r="K1476">
        <v>85533.57</v>
      </c>
    </row>
    <row r="1477" spans="1:12" x14ac:dyDescent="0.2">
      <c r="A1477" t="s">
        <v>39</v>
      </c>
      <c r="B1477" t="s">
        <v>113</v>
      </c>
      <c r="C1477" t="s">
        <v>197</v>
      </c>
      <c r="D1477">
        <v>106905.5</v>
      </c>
      <c r="E1477">
        <v>106880.5</v>
      </c>
      <c r="I1477">
        <v>101160.5</v>
      </c>
      <c r="J1477">
        <v>103203.5</v>
      </c>
    </row>
    <row r="1478" spans="1:12" x14ac:dyDescent="0.2">
      <c r="A1478" t="s">
        <v>39</v>
      </c>
      <c r="B1478" t="s">
        <v>113</v>
      </c>
      <c r="C1478" t="s">
        <v>198</v>
      </c>
      <c r="D1478">
        <v>78361.600000000006</v>
      </c>
      <c r="I1478">
        <v>73620.600000000006</v>
      </c>
    </row>
    <row r="1479" spans="1:12" x14ac:dyDescent="0.2">
      <c r="A1479" t="s">
        <v>39</v>
      </c>
      <c r="B1479" t="s">
        <v>72</v>
      </c>
      <c r="C1479" t="s">
        <v>195</v>
      </c>
      <c r="D1479">
        <v>111919.85</v>
      </c>
      <c r="E1479">
        <v>110474.35</v>
      </c>
      <c r="F1479">
        <v>109874.35</v>
      </c>
      <c r="G1479">
        <v>109874.35</v>
      </c>
      <c r="I1479">
        <v>96373.5</v>
      </c>
      <c r="J1479">
        <v>98915.3</v>
      </c>
      <c r="K1479">
        <v>99299.55</v>
      </c>
      <c r="L1479">
        <v>99299.55</v>
      </c>
    </row>
    <row r="1480" spans="1:12" x14ac:dyDescent="0.2">
      <c r="A1480" t="s">
        <v>39</v>
      </c>
      <c r="B1480" t="s">
        <v>72</v>
      </c>
      <c r="C1480" t="s">
        <v>196</v>
      </c>
      <c r="D1480">
        <v>125957.75</v>
      </c>
      <c r="E1480">
        <v>123525.25</v>
      </c>
      <c r="F1480">
        <v>123505.25</v>
      </c>
      <c r="I1480">
        <v>110632.9</v>
      </c>
      <c r="J1480">
        <v>113131.4</v>
      </c>
      <c r="K1480">
        <v>113383.39</v>
      </c>
    </row>
    <row r="1481" spans="1:12" x14ac:dyDescent="0.2">
      <c r="A1481" t="s">
        <v>39</v>
      </c>
      <c r="B1481" t="s">
        <v>72</v>
      </c>
      <c r="C1481" t="s">
        <v>197</v>
      </c>
      <c r="D1481">
        <v>128541.75999999999</v>
      </c>
      <c r="E1481">
        <v>126109.26</v>
      </c>
      <c r="I1481">
        <v>112614.54</v>
      </c>
      <c r="J1481">
        <v>113421.26</v>
      </c>
    </row>
    <row r="1482" spans="1:12" x14ac:dyDescent="0.2">
      <c r="A1482" t="s">
        <v>39</v>
      </c>
      <c r="B1482" t="s">
        <v>72</v>
      </c>
      <c r="C1482" t="s">
        <v>198</v>
      </c>
      <c r="D1482">
        <v>121952.85</v>
      </c>
      <c r="I1482">
        <v>103995.69</v>
      </c>
    </row>
    <row r="1483" spans="1:12" x14ac:dyDescent="0.2">
      <c r="A1483" t="s">
        <v>40</v>
      </c>
      <c r="B1483" t="s">
        <v>109</v>
      </c>
      <c r="C1483" t="s">
        <v>195</v>
      </c>
      <c r="D1483">
        <v>50490.65</v>
      </c>
      <c r="E1483">
        <v>50190.65</v>
      </c>
      <c r="F1483">
        <v>49672.959999999999</v>
      </c>
      <c r="G1483">
        <v>49672.959999999999</v>
      </c>
      <c r="I1483">
        <v>1020.29</v>
      </c>
      <c r="J1483">
        <v>2589.67</v>
      </c>
      <c r="K1483">
        <v>4465.45</v>
      </c>
      <c r="L1483">
        <v>6506.67</v>
      </c>
    </row>
    <row r="1484" spans="1:12" x14ac:dyDescent="0.2">
      <c r="A1484" t="s">
        <v>40</v>
      </c>
      <c r="B1484" t="s">
        <v>109</v>
      </c>
      <c r="C1484" t="s">
        <v>196</v>
      </c>
      <c r="D1484">
        <v>48748.45</v>
      </c>
      <c r="E1484">
        <v>48748.45</v>
      </c>
      <c r="F1484">
        <v>48748.45</v>
      </c>
      <c r="I1484">
        <v>936.1</v>
      </c>
      <c r="J1484">
        <v>2719.3</v>
      </c>
      <c r="K1484">
        <v>5098.9799999999996</v>
      </c>
    </row>
    <row r="1485" spans="1:12" x14ac:dyDescent="0.2">
      <c r="A1485" t="s">
        <v>40</v>
      </c>
      <c r="B1485" t="s">
        <v>109</v>
      </c>
      <c r="C1485" t="s">
        <v>197</v>
      </c>
      <c r="D1485">
        <v>55995</v>
      </c>
      <c r="E1485">
        <v>55945</v>
      </c>
      <c r="I1485">
        <v>1767.64</v>
      </c>
      <c r="J1485">
        <v>3332.04</v>
      </c>
    </row>
    <row r="1486" spans="1:12" x14ac:dyDescent="0.2">
      <c r="A1486" t="s">
        <v>40</v>
      </c>
      <c r="B1486" t="s">
        <v>109</v>
      </c>
      <c r="C1486" t="s">
        <v>198</v>
      </c>
      <c r="D1486">
        <v>109543.55</v>
      </c>
      <c r="I1486">
        <v>814.27</v>
      </c>
    </row>
    <row r="1487" spans="1:12" x14ac:dyDescent="0.2">
      <c r="A1487" t="s">
        <v>40</v>
      </c>
      <c r="B1487" t="s">
        <v>145</v>
      </c>
      <c r="C1487" t="s">
        <v>195</v>
      </c>
    </row>
    <row r="1488" spans="1:12" x14ac:dyDescent="0.2">
      <c r="A1488" t="s">
        <v>40</v>
      </c>
      <c r="B1488" t="s">
        <v>145</v>
      </c>
      <c r="C1488" t="s">
        <v>196</v>
      </c>
    </row>
    <row r="1489" spans="1:12" x14ac:dyDescent="0.2">
      <c r="A1489" t="s">
        <v>40</v>
      </c>
      <c r="B1489" t="s">
        <v>145</v>
      </c>
      <c r="C1489" t="s">
        <v>197</v>
      </c>
    </row>
    <row r="1490" spans="1:12" x14ac:dyDescent="0.2">
      <c r="A1490" t="s">
        <v>40</v>
      </c>
      <c r="B1490" t="s">
        <v>145</v>
      </c>
      <c r="C1490" t="s">
        <v>198</v>
      </c>
    </row>
    <row r="1491" spans="1:12" x14ac:dyDescent="0.2">
      <c r="A1491" t="s">
        <v>40</v>
      </c>
      <c r="B1491" t="s">
        <v>110</v>
      </c>
      <c r="C1491" t="s">
        <v>195</v>
      </c>
      <c r="D1491">
        <v>28163</v>
      </c>
      <c r="E1491">
        <v>26875.5</v>
      </c>
      <c r="F1491">
        <v>25653.5</v>
      </c>
      <c r="G1491">
        <v>25653.5</v>
      </c>
      <c r="I1491">
        <v>3117</v>
      </c>
      <c r="J1491">
        <v>8364.44</v>
      </c>
      <c r="K1491">
        <v>10196.5</v>
      </c>
      <c r="L1491">
        <v>11292.5</v>
      </c>
    </row>
    <row r="1492" spans="1:12" x14ac:dyDescent="0.2">
      <c r="A1492" t="s">
        <v>40</v>
      </c>
      <c r="B1492" t="s">
        <v>110</v>
      </c>
      <c r="C1492" t="s">
        <v>196</v>
      </c>
      <c r="D1492">
        <v>39885</v>
      </c>
      <c r="E1492">
        <v>39006.5</v>
      </c>
      <c r="F1492">
        <v>39006.5</v>
      </c>
      <c r="I1492">
        <v>6851.75</v>
      </c>
      <c r="J1492">
        <v>12812.25</v>
      </c>
      <c r="K1492">
        <v>16915.25</v>
      </c>
    </row>
    <row r="1493" spans="1:12" x14ac:dyDescent="0.2">
      <c r="A1493" t="s">
        <v>40</v>
      </c>
      <c r="B1493" t="s">
        <v>110</v>
      </c>
      <c r="C1493" t="s">
        <v>197</v>
      </c>
      <c r="D1493">
        <v>35805.15</v>
      </c>
      <c r="E1493">
        <v>35805.15</v>
      </c>
      <c r="I1493">
        <v>6757.15</v>
      </c>
      <c r="J1493">
        <v>11043.36</v>
      </c>
    </row>
    <row r="1494" spans="1:12" x14ac:dyDescent="0.2">
      <c r="A1494" t="s">
        <v>40</v>
      </c>
      <c r="B1494" t="s">
        <v>110</v>
      </c>
      <c r="C1494" t="s">
        <v>198</v>
      </c>
      <c r="D1494">
        <v>35863.75</v>
      </c>
      <c r="I1494">
        <v>3836.5</v>
      </c>
    </row>
    <row r="1495" spans="1:12" x14ac:dyDescent="0.2">
      <c r="A1495" t="s">
        <v>40</v>
      </c>
      <c r="B1495" t="s">
        <v>116</v>
      </c>
      <c r="C1495" t="s">
        <v>195</v>
      </c>
      <c r="D1495">
        <v>1682</v>
      </c>
      <c r="E1495">
        <v>1632</v>
      </c>
      <c r="F1495">
        <v>1632</v>
      </c>
      <c r="G1495">
        <v>1632</v>
      </c>
      <c r="I1495">
        <v>557</v>
      </c>
      <c r="J1495">
        <v>802</v>
      </c>
      <c r="K1495">
        <v>822</v>
      </c>
      <c r="L1495">
        <v>832</v>
      </c>
    </row>
    <row r="1496" spans="1:12" x14ac:dyDescent="0.2">
      <c r="A1496" t="s">
        <v>40</v>
      </c>
      <c r="B1496" t="s">
        <v>116</v>
      </c>
      <c r="C1496" t="s">
        <v>196</v>
      </c>
      <c r="D1496">
        <v>3635</v>
      </c>
      <c r="E1496">
        <v>3085</v>
      </c>
      <c r="F1496">
        <v>3085</v>
      </c>
      <c r="I1496">
        <v>1055</v>
      </c>
      <c r="J1496">
        <v>1630</v>
      </c>
      <c r="K1496">
        <v>2005</v>
      </c>
    </row>
    <row r="1497" spans="1:12" x14ac:dyDescent="0.2">
      <c r="A1497" t="s">
        <v>40</v>
      </c>
      <c r="B1497" t="s">
        <v>116</v>
      </c>
      <c r="C1497" t="s">
        <v>197</v>
      </c>
      <c r="D1497">
        <v>3602</v>
      </c>
      <c r="E1497">
        <v>3602</v>
      </c>
      <c r="I1497">
        <v>1224</v>
      </c>
      <c r="J1497">
        <v>1632</v>
      </c>
    </row>
    <row r="1498" spans="1:12" x14ac:dyDescent="0.2">
      <c r="A1498" t="s">
        <v>40</v>
      </c>
      <c r="B1498" t="s">
        <v>116</v>
      </c>
      <c r="C1498" t="s">
        <v>198</v>
      </c>
      <c r="D1498">
        <v>3151</v>
      </c>
      <c r="I1498">
        <v>575</v>
      </c>
    </row>
    <row r="1499" spans="1:12" x14ac:dyDescent="0.2">
      <c r="A1499" t="s">
        <v>40</v>
      </c>
      <c r="B1499" t="s">
        <v>114</v>
      </c>
      <c r="C1499" t="s">
        <v>195</v>
      </c>
      <c r="D1499">
        <v>42821.25</v>
      </c>
      <c r="E1499">
        <v>40900.75</v>
      </c>
      <c r="F1499">
        <v>37860.25</v>
      </c>
      <c r="G1499">
        <v>37860.25</v>
      </c>
      <c r="I1499">
        <v>4272.5</v>
      </c>
      <c r="J1499">
        <v>9462.7999999999993</v>
      </c>
      <c r="K1499">
        <v>14042.3</v>
      </c>
      <c r="L1499">
        <v>16122.3</v>
      </c>
    </row>
    <row r="1500" spans="1:12" x14ac:dyDescent="0.2">
      <c r="A1500" t="s">
        <v>40</v>
      </c>
      <c r="B1500" t="s">
        <v>114</v>
      </c>
      <c r="C1500" t="s">
        <v>196</v>
      </c>
      <c r="D1500">
        <v>56004.75</v>
      </c>
      <c r="E1500">
        <v>54460.97</v>
      </c>
      <c r="F1500">
        <v>54460.97</v>
      </c>
      <c r="I1500">
        <v>10666.25</v>
      </c>
      <c r="J1500">
        <v>17223.75</v>
      </c>
      <c r="K1500">
        <v>20509.5</v>
      </c>
    </row>
    <row r="1501" spans="1:12" x14ac:dyDescent="0.2">
      <c r="A1501" t="s">
        <v>40</v>
      </c>
      <c r="B1501" t="s">
        <v>114</v>
      </c>
      <c r="C1501" t="s">
        <v>197</v>
      </c>
      <c r="D1501">
        <v>42893.25</v>
      </c>
      <c r="E1501">
        <v>42893.25</v>
      </c>
      <c r="I1501">
        <v>4311.5</v>
      </c>
      <c r="J1501">
        <v>10267.5</v>
      </c>
    </row>
    <row r="1502" spans="1:12" x14ac:dyDescent="0.2">
      <c r="A1502" t="s">
        <v>40</v>
      </c>
      <c r="B1502" t="s">
        <v>114</v>
      </c>
      <c r="C1502" t="s">
        <v>198</v>
      </c>
      <c r="D1502">
        <v>122900.5</v>
      </c>
      <c r="I1502">
        <v>3458.75</v>
      </c>
    </row>
    <row r="1503" spans="1:12" x14ac:dyDescent="0.2">
      <c r="A1503" t="s">
        <v>40</v>
      </c>
      <c r="B1503" t="s">
        <v>111</v>
      </c>
      <c r="C1503" t="s">
        <v>195</v>
      </c>
      <c r="D1503">
        <v>46072.25</v>
      </c>
      <c r="E1503">
        <v>46122.25</v>
      </c>
      <c r="F1503">
        <v>46122.25</v>
      </c>
      <c r="G1503">
        <v>46122.25</v>
      </c>
      <c r="I1503">
        <v>41058.75</v>
      </c>
      <c r="J1503">
        <v>44221.25</v>
      </c>
      <c r="K1503">
        <v>44221.25</v>
      </c>
      <c r="L1503">
        <v>44221.25</v>
      </c>
    </row>
    <row r="1504" spans="1:12" x14ac:dyDescent="0.2">
      <c r="A1504" t="s">
        <v>40</v>
      </c>
      <c r="B1504" t="s">
        <v>111</v>
      </c>
      <c r="C1504" t="s">
        <v>196</v>
      </c>
      <c r="D1504">
        <v>41724.74</v>
      </c>
      <c r="E1504">
        <v>41724.74</v>
      </c>
      <c r="F1504">
        <v>41724.74</v>
      </c>
      <c r="I1504">
        <v>33838</v>
      </c>
      <c r="J1504">
        <v>40155.5</v>
      </c>
      <c r="K1504">
        <v>40185.5</v>
      </c>
    </row>
    <row r="1505" spans="1:12" x14ac:dyDescent="0.2">
      <c r="A1505" t="s">
        <v>40</v>
      </c>
      <c r="B1505" t="s">
        <v>111</v>
      </c>
      <c r="C1505" t="s">
        <v>197</v>
      </c>
      <c r="D1505">
        <v>41260.1</v>
      </c>
      <c r="E1505">
        <v>41260.1</v>
      </c>
      <c r="I1505">
        <v>37547.599999999999</v>
      </c>
      <c r="J1505">
        <v>40287.599999999999</v>
      </c>
    </row>
    <row r="1506" spans="1:12" x14ac:dyDescent="0.2">
      <c r="A1506" t="s">
        <v>40</v>
      </c>
      <c r="B1506" t="s">
        <v>111</v>
      </c>
      <c r="C1506" t="s">
        <v>198</v>
      </c>
      <c r="D1506">
        <v>36065.050000000003</v>
      </c>
      <c r="I1506">
        <v>34215.050000000003</v>
      </c>
    </row>
    <row r="1507" spans="1:12" x14ac:dyDescent="0.2">
      <c r="A1507" t="s">
        <v>40</v>
      </c>
      <c r="B1507" t="s">
        <v>112</v>
      </c>
      <c r="C1507" t="s">
        <v>195</v>
      </c>
      <c r="D1507">
        <v>28275.87</v>
      </c>
      <c r="E1507">
        <v>27955.87</v>
      </c>
      <c r="F1507">
        <v>27955.87</v>
      </c>
      <c r="G1507">
        <v>27955.87</v>
      </c>
      <c r="I1507">
        <v>24035.87</v>
      </c>
      <c r="J1507">
        <v>26090.87</v>
      </c>
      <c r="K1507">
        <v>26090.87</v>
      </c>
      <c r="L1507">
        <v>26090.87</v>
      </c>
    </row>
    <row r="1508" spans="1:12" x14ac:dyDescent="0.2">
      <c r="A1508" t="s">
        <v>40</v>
      </c>
      <c r="B1508" t="s">
        <v>112</v>
      </c>
      <c r="C1508" t="s">
        <v>196</v>
      </c>
      <c r="D1508">
        <v>37015.379999999997</v>
      </c>
      <c r="E1508">
        <v>37015.379999999997</v>
      </c>
      <c r="F1508">
        <v>37015.379999999997</v>
      </c>
      <c r="I1508">
        <v>32550.38</v>
      </c>
      <c r="J1508">
        <v>35595.379999999997</v>
      </c>
      <c r="K1508">
        <v>35635.379999999997</v>
      </c>
    </row>
    <row r="1509" spans="1:12" x14ac:dyDescent="0.2">
      <c r="A1509" t="s">
        <v>40</v>
      </c>
      <c r="B1509" t="s">
        <v>112</v>
      </c>
      <c r="C1509" t="s">
        <v>197</v>
      </c>
      <c r="D1509">
        <v>38067.4</v>
      </c>
      <c r="E1509">
        <v>38067.4</v>
      </c>
      <c r="I1509">
        <v>36967.4</v>
      </c>
      <c r="J1509">
        <v>37672.400000000001</v>
      </c>
    </row>
    <row r="1510" spans="1:12" x14ac:dyDescent="0.2">
      <c r="A1510" t="s">
        <v>40</v>
      </c>
      <c r="B1510" t="s">
        <v>112</v>
      </c>
      <c r="C1510" t="s">
        <v>198</v>
      </c>
      <c r="D1510">
        <v>39304.9</v>
      </c>
      <c r="I1510">
        <v>37660.730000000003</v>
      </c>
    </row>
    <row r="1511" spans="1:12" x14ac:dyDescent="0.2">
      <c r="A1511" t="s">
        <v>40</v>
      </c>
      <c r="B1511" t="s">
        <v>115</v>
      </c>
      <c r="C1511" t="s">
        <v>195</v>
      </c>
      <c r="D1511">
        <v>195440.25</v>
      </c>
      <c r="E1511">
        <v>193944.7</v>
      </c>
      <c r="F1511">
        <v>193837.7</v>
      </c>
      <c r="G1511">
        <v>193837.7</v>
      </c>
      <c r="I1511">
        <v>89971.65</v>
      </c>
      <c r="J1511">
        <v>121466.7</v>
      </c>
      <c r="K1511">
        <v>126822.2</v>
      </c>
      <c r="L1511">
        <v>127723.45</v>
      </c>
    </row>
    <row r="1512" spans="1:12" x14ac:dyDescent="0.2">
      <c r="A1512" t="s">
        <v>40</v>
      </c>
      <c r="B1512" t="s">
        <v>115</v>
      </c>
      <c r="C1512" t="s">
        <v>196</v>
      </c>
      <c r="D1512">
        <v>170593.85</v>
      </c>
      <c r="E1512">
        <v>168077.35</v>
      </c>
      <c r="F1512">
        <v>168077.35</v>
      </c>
      <c r="I1512">
        <v>79512.2</v>
      </c>
      <c r="J1512">
        <v>110070.16</v>
      </c>
      <c r="K1512">
        <v>114307.41</v>
      </c>
    </row>
    <row r="1513" spans="1:12" x14ac:dyDescent="0.2">
      <c r="A1513" t="s">
        <v>40</v>
      </c>
      <c r="B1513" t="s">
        <v>115</v>
      </c>
      <c r="C1513" t="s">
        <v>197</v>
      </c>
      <c r="D1513">
        <v>157064.25</v>
      </c>
      <c r="E1513">
        <v>157064.25</v>
      </c>
      <c r="I1513">
        <v>70601.850000000006</v>
      </c>
      <c r="J1513">
        <v>105012.41</v>
      </c>
    </row>
    <row r="1514" spans="1:12" x14ac:dyDescent="0.2">
      <c r="A1514" t="s">
        <v>40</v>
      </c>
      <c r="B1514" t="s">
        <v>115</v>
      </c>
      <c r="C1514" t="s">
        <v>198</v>
      </c>
      <c r="D1514">
        <v>194747.35</v>
      </c>
      <c r="I1514">
        <v>101159.28</v>
      </c>
    </row>
    <row r="1515" spans="1:12" x14ac:dyDescent="0.2">
      <c r="A1515" t="s">
        <v>40</v>
      </c>
      <c r="B1515" t="s">
        <v>113</v>
      </c>
      <c r="C1515" t="s">
        <v>195</v>
      </c>
      <c r="D1515">
        <v>13642</v>
      </c>
      <c r="E1515">
        <v>13642</v>
      </c>
      <c r="F1515">
        <v>13642</v>
      </c>
      <c r="G1515">
        <v>13642</v>
      </c>
      <c r="I1515">
        <v>12680</v>
      </c>
      <c r="J1515">
        <v>13090</v>
      </c>
      <c r="K1515">
        <v>13090</v>
      </c>
      <c r="L1515">
        <v>13090</v>
      </c>
    </row>
    <row r="1516" spans="1:12" x14ac:dyDescent="0.2">
      <c r="A1516" t="s">
        <v>40</v>
      </c>
      <c r="B1516" t="s">
        <v>113</v>
      </c>
      <c r="C1516" t="s">
        <v>196</v>
      </c>
      <c r="D1516">
        <v>11739.5</v>
      </c>
      <c r="E1516">
        <v>11789.5</v>
      </c>
      <c r="F1516">
        <v>11789.5</v>
      </c>
      <c r="I1516">
        <v>9862.5</v>
      </c>
      <c r="J1516">
        <v>11042.5</v>
      </c>
      <c r="K1516">
        <v>11092.5</v>
      </c>
    </row>
    <row r="1517" spans="1:12" x14ac:dyDescent="0.2">
      <c r="A1517" t="s">
        <v>40</v>
      </c>
      <c r="B1517" t="s">
        <v>113</v>
      </c>
      <c r="C1517" t="s">
        <v>197</v>
      </c>
      <c r="D1517">
        <v>17667.3</v>
      </c>
      <c r="E1517">
        <v>17667.3</v>
      </c>
      <c r="I1517">
        <v>15985.3</v>
      </c>
      <c r="J1517">
        <v>16470.3</v>
      </c>
    </row>
    <row r="1518" spans="1:12" x14ac:dyDescent="0.2">
      <c r="A1518" t="s">
        <v>40</v>
      </c>
      <c r="B1518" t="s">
        <v>113</v>
      </c>
      <c r="C1518" t="s">
        <v>198</v>
      </c>
      <c r="D1518">
        <v>11660.5</v>
      </c>
      <c r="I1518">
        <v>10584.5</v>
      </c>
    </row>
    <row r="1519" spans="1:12" x14ac:dyDescent="0.2">
      <c r="A1519" t="s">
        <v>40</v>
      </c>
      <c r="B1519" t="s">
        <v>72</v>
      </c>
      <c r="C1519" t="s">
        <v>195</v>
      </c>
      <c r="D1519">
        <v>27978.43</v>
      </c>
      <c r="E1519">
        <v>27918.43</v>
      </c>
      <c r="F1519">
        <v>27918.43</v>
      </c>
      <c r="G1519">
        <v>27918.43</v>
      </c>
      <c r="I1519">
        <v>18860.73</v>
      </c>
      <c r="J1519">
        <v>20268.73</v>
      </c>
      <c r="K1519">
        <v>20461.73</v>
      </c>
      <c r="L1519">
        <v>20509.73</v>
      </c>
    </row>
    <row r="1520" spans="1:12" x14ac:dyDescent="0.2">
      <c r="A1520" t="s">
        <v>40</v>
      </c>
      <c r="B1520" t="s">
        <v>72</v>
      </c>
      <c r="C1520" t="s">
        <v>196</v>
      </c>
      <c r="D1520">
        <v>38516.65</v>
      </c>
      <c r="E1520">
        <v>38108.65</v>
      </c>
      <c r="F1520">
        <v>38108.65</v>
      </c>
      <c r="I1520">
        <v>23421.15</v>
      </c>
      <c r="J1520">
        <v>25576.73</v>
      </c>
      <c r="K1520">
        <v>25881.73</v>
      </c>
    </row>
    <row r="1521" spans="1:12" x14ac:dyDescent="0.2">
      <c r="A1521" t="s">
        <v>40</v>
      </c>
      <c r="B1521" t="s">
        <v>72</v>
      </c>
      <c r="C1521" t="s">
        <v>197</v>
      </c>
      <c r="D1521">
        <v>38797.35</v>
      </c>
      <c r="E1521">
        <v>38797.35</v>
      </c>
      <c r="I1521">
        <v>24317.55</v>
      </c>
      <c r="J1521">
        <v>26034.55</v>
      </c>
    </row>
    <row r="1522" spans="1:12" x14ac:dyDescent="0.2">
      <c r="A1522" t="s">
        <v>40</v>
      </c>
      <c r="B1522" t="s">
        <v>72</v>
      </c>
      <c r="C1522" t="s">
        <v>198</v>
      </c>
      <c r="D1522">
        <v>26882.44</v>
      </c>
      <c r="I1522">
        <v>16391.400000000001</v>
      </c>
    </row>
    <row r="1523" spans="1:12" x14ac:dyDescent="0.2">
      <c r="A1523" t="s">
        <v>41</v>
      </c>
      <c r="B1523" t="s">
        <v>109</v>
      </c>
      <c r="C1523" t="s">
        <v>195</v>
      </c>
      <c r="D1523">
        <v>21367.5</v>
      </c>
      <c r="E1523">
        <v>21367.5</v>
      </c>
      <c r="F1523">
        <v>21367.5</v>
      </c>
      <c r="G1523">
        <v>21367.5</v>
      </c>
      <c r="I1523">
        <v>10.5</v>
      </c>
      <c r="J1523">
        <v>455.06</v>
      </c>
      <c r="K1523">
        <v>495.06</v>
      </c>
      <c r="L1523">
        <v>505.06</v>
      </c>
    </row>
    <row r="1524" spans="1:12" x14ac:dyDescent="0.2">
      <c r="A1524" t="s">
        <v>41</v>
      </c>
      <c r="B1524" t="s">
        <v>109</v>
      </c>
      <c r="C1524" t="s">
        <v>196</v>
      </c>
      <c r="D1524">
        <v>13660.5</v>
      </c>
      <c r="E1524">
        <v>13660.5</v>
      </c>
      <c r="F1524">
        <v>13660.5</v>
      </c>
      <c r="I1524">
        <v>110.36</v>
      </c>
      <c r="J1524">
        <v>1142.8399999999999</v>
      </c>
      <c r="K1524">
        <v>1451.49</v>
      </c>
    </row>
    <row r="1525" spans="1:12" x14ac:dyDescent="0.2">
      <c r="A1525" t="s">
        <v>41</v>
      </c>
      <c r="B1525" t="s">
        <v>109</v>
      </c>
      <c r="C1525" t="s">
        <v>197</v>
      </c>
      <c r="D1525">
        <v>20397.5</v>
      </c>
      <c r="E1525">
        <v>20397.5</v>
      </c>
      <c r="I1525">
        <v>277.82</v>
      </c>
      <c r="J1525">
        <v>1445.43</v>
      </c>
    </row>
    <row r="1526" spans="1:12" x14ac:dyDescent="0.2">
      <c r="A1526" t="s">
        <v>41</v>
      </c>
      <c r="B1526" t="s">
        <v>109</v>
      </c>
      <c r="C1526" t="s">
        <v>198</v>
      </c>
      <c r="D1526">
        <v>15740.5</v>
      </c>
      <c r="I1526">
        <v>295.58</v>
      </c>
    </row>
    <row r="1527" spans="1:12" x14ac:dyDescent="0.2">
      <c r="A1527" t="s">
        <v>41</v>
      </c>
      <c r="B1527" t="s">
        <v>145</v>
      </c>
      <c r="C1527" t="s">
        <v>195</v>
      </c>
      <c r="D1527">
        <v>0</v>
      </c>
      <c r="E1527">
        <v>0</v>
      </c>
      <c r="F1527">
        <v>0</v>
      </c>
      <c r="G1527">
        <v>0</v>
      </c>
      <c r="I1527">
        <v>0</v>
      </c>
      <c r="J1527">
        <v>0</v>
      </c>
      <c r="K1527">
        <v>0</v>
      </c>
      <c r="L1527">
        <v>0</v>
      </c>
    </row>
    <row r="1528" spans="1:12" x14ac:dyDescent="0.2">
      <c r="A1528" t="s">
        <v>41</v>
      </c>
      <c r="B1528" t="s">
        <v>145</v>
      </c>
      <c r="C1528" t="s">
        <v>196</v>
      </c>
      <c r="D1528">
        <v>0</v>
      </c>
      <c r="E1528">
        <v>0</v>
      </c>
      <c r="F1528">
        <v>0</v>
      </c>
      <c r="I1528">
        <v>0</v>
      </c>
      <c r="J1528">
        <v>0</v>
      </c>
      <c r="K1528">
        <v>0</v>
      </c>
    </row>
    <row r="1529" spans="1:12" x14ac:dyDescent="0.2">
      <c r="A1529" t="s">
        <v>41</v>
      </c>
      <c r="B1529" t="s">
        <v>145</v>
      </c>
      <c r="C1529" t="s">
        <v>197</v>
      </c>
      <c r="D1529">
        <v>0</v>
      </c>
      <c r="E1529">
        <v>0</v>
      </c>
      <c r="I1529">
        <v>0</v>
      </c>
      <c r="J1529">
        <v>0</v>
      </c>
    </row>
    <row r="1530" spans="1:12" x14ac:dyDescent="0.2">
      <c r="A1530" t="s">
        <v>41</v>
      </c>
      <c r="B1530" t="s">
        <v>145</v>
      </c>
      <c r="C1530" t="s">
        <v>198</v>
      </c>
      <c r="D1530">
        <v>0</v>
      </c>
      <c r="I1530">
        <v>0</v>
      </c>
    </row>
    <row r="1531" spans="1:12" x14ac:dyDescent="0.2">
      <c r="A1531" t="s">
        <v>41</v>
      </c>
      <c r="B1531" t="s">
        <v>110</v>
      </c>
      <c r="C1531" t="s">
        <v>195</v>
      </c>
      <c r="D1531">
        <v>8348</v>
      </c>
      <c r="E1531">
        <v>8348</v>
      </c>
      <c r="F1531">
        <v>8298</v>
      </c>
      <c r="G1531">
        <v>8298</v>
      </c>
      <c r="I1531">
        <v>2393.5</v>
      </c>
      <c r="J1531">
        <v>4068</v>
      </c>
      <c r="K1531">
        <v>5305</v>
      </c>
      <c r="L1531">
        <v>5450</v>
      </c>
    </row>
    <row r="1532" spans="1:12" x14ac:dyDescent="0.2">
      <c r="A1532" t="s">
        <v>41</v>
      </c>
      <c r="B1532" t="s">
        <v>110</v>
      </c>
      <c r="C1532" t="s">
        <v>196</v>
      </c>
      <c r="D1532">
        <v>7379.5</v>
      </c>
      <c r="E1532">
        <v>7379.5</v>
      </c>
      <c r="F1532">
        <v>7379.5</v>
      </c>
      <c r="I1532">
        <v>2124.5</v>
      </c>
      <c r="J1532">
        <v>3279.5</v>
      </c>
      <c r="K1532">
        <v>3929.5</v>
      </c>
    </row>
    <row r="1533" spans="1:12" x14ac:dyDescent="0.2">
      <c r="A1533" t="s">
        <v>41</v>
      </c>
      <c r="B1533" t="s">
        <v>110</v>
      </c>
      <c r="C1533" t="s">
        <v>197</v>
      </c>
      <c r="D1533">
        <v>6352.5</v>
      </c>
      <c r="E1533">
        <v>6352.5</v>
      </c>
      <c r="I1533">
        <v>1628.5</v>
      </c>
      <c r="J1533">
        <v>2300.5</v>
      </c>
    </row>
    <row r="1534" spans="1:12" x14ac:dyDescent="0.2">
      <c r="A1534" t="s">
        <v>41</v>
      </c>
      <c r="B1534" t="s">
        <v>110</v>
      </c>
      <c r="C1534" t="s">
        <v>198</v>
      </c>
      <c r="D1534">
        <v>4937</v>
      </c>
      <c r="I1534">
        <v>1633.5</v>
      </c>
    </row>
    <row r="1535" spans="1:12" x14ac:dyDescent="0.2">
      <c r="A1535" t="s">
        <v>41</v>
      </c>
      <c r="B1535" t="s">
        <v>116</v>
      </c>
      <c r="C1535" t="s">
        <v>195</v>
      </c>
      <c r="D1535">
        <v>1232</v>
      </c>
      <c r="E1535">
        <v>1232</v>
      </c>
      <c r="F1535">
        <v>1232</v>
      </c>
      <c r="G1535">
        <v>1232</v>
      </c>
      <c r="I1535">
        <v>0</v>
      </c>
      <c r="J1535">
        <v>0</v>
      </c>
      <c r="K1535">
        <v>0</v>
      </c>
      <c r="L1535">
        <v>0</v>
      </c>
    </row>
    <row r="1536" spans="1:12" x14ac:dyDescent="0.2">
      <c r="A1536" t="s">
        <v>41</v>
      </c>
      <c r="B1536" t="s">
        <v>116</v>
      </c>
      <c r="C1536" t="s">
        <v>196</v>
      </c>
      <c r="D1536">
        <v>1029</v>
      </c>
      <c r="E1536">
        <v>1029</v>
      </c>
      <c r="F1536">
        <v>1029</v>
      </c>
      <c r="I1536">
        <v>14</v>
      </c>
      <c r="J1536">
        <v>164</v>
      </c>
      <c r="K1536">
        <v>164</v>
      </c>
    </row>
    <row r="1537" spans="1:12" x14ac:dyDescent="0.2">
      <c r="A1537" t="s">
        <v>41</v>
      </c>
      <c r="B1537" t="s">
        <v>116</v>
      </c>
      <c r="C1537" t="s">
        <v>197</v>
      </c>
      <c r="D1537">
        <v>450</v>
      </c>
      <c r="E1537">
        <v>450</v>
      </c>
      <c r="I1537">
        <v>14</v>
      </c>
      <c r="J1537">
        <v>450</v>
      </c>
    </row>
    <row r="1538" spans="1:12" x14ac:dyDescent="0.2">
      <c r="A1538" t="s">
        <v>41</v>
      </c>
      <c r="B1538" t="s">
        <v>116</v>
      </c>
      <c r="C1538" t="s">
        <v>198</v>
      </c>
      <c r="D1538">
        <v>942</v>
      </c>
      <c r="I1538">
        <v>142</v>
      </c>
    </row>
    <row r="1539" spans="1:12" x14ac:dyDescent="0.2">
      <c r="A1539" t="s">
        <v>41</v>
      </c>
      <c r="B1539" t="s">
        <v>114</v>
      </c>
      <c r="C1539" t="s">
        <v>195</v>
      </c>
      <c r="D1539">
        <v>7751</v>
      </c>
      <c r="E1539">
        <v>7751</v>
      </c>
      <c r="F1539">
        <v>7751</v>
      </c>
      <c r="G1539">
        <v>7751</v>
      </c>
      <c r="I1539">
        <v>2075</v>
      </c>
      <c r="J1539">
        <v>3498</v>
      </c>
      <c r="K1539">
        <v>4973</v>
      </c>
      <c r="L1539">
        <v>5153</v>
      </c>
    </row>
    <row r="1540" spans="1:12" x14ac:dyDescent="0.2">
      <c r="A1540" t="s">
        <v>41</v>
      </c>
      <c r="B1540" t="s">
        <v>114</v>
      </c>
      <c r="C1540" t="s">
        <v>196</v>
      </c>
      <c r="D1540">
        <v>7376</v>
      </c>
      <c r="E1540">
        <v>7076</v>
      </c>
      <c r="F1540">
        <v>7076</v>
      </c>
      <c r="I1540">
        <v>3693</v>
      </c>
      <c r="J1540">
        <v>3843</v>
      </c>
      <c r="K1540">
        <v>4958</v>
      </c>
    </row>
    <row r="1541" spans="1:12" x14ac:dyDescent="0.2">
      <c r="A1541" t="s">
        <v>41</v>
      </c>
      <c r="B1541" t="s">
        <v>114</v>
      </c>
      <c r="C1541" t="s">
        <v>197</v>
      </c>
      <c r="D1541">
        <v>8476</v>
      </c>
      <c r="E1541">
        <v>7476</v>
      </c>
      <c r="I1541">
        <v>3773</v>
      </c>
      <c r="J1541">
        <v>4213</v>
      </c>
    </row>
    <row r="1542" spans="1:12" x14ac:dyDescent="0.2">
      <c r="A1542" t="s">
        <v>41</v>
      </c>
      <c r="B1542" t="s">
        <v>114</v>
      </c>
      <c r="C1542" t="s">
        <v>198</v>
      </c>
      <c r="D1542">
        <v>3613</v>
      </c>
      <c r="I1542">
        <v>2110</v>
      </c>
    </row>
    <row r="1543" spans="1:12" x14ac:dyDescent="0.2">
      <c r="A1543" t="s">
        <v>41</v>
      </c>
      <c r="B1543" t="s">
        <v>111</v>
      </c>
      <c r="C1543" t="s">
        <v>195</v>
      </c>
      <c r="D1543">
        <v>6515</v>
      </c>
      <c r="E1543">
        <v>6515</v>
      </c>
      <c r="F1543">
        <v>6515</v>
      </c>
      <c r="G1543">
        <v>6515</v>
      </c>
      <c r="I1543">
        <v>6515</v>
      </c>
      <c r="J1543">
        <v>6515</v>
      </c>
      <c r="K1543">
        <v>6515</v>
      </c>
      <c r="L1543">
        <v>6515</v>
      </c>
    </row>
    <row r="1544" spans="1:12" x14ac:dyDescent="0.2">
      <c r="A1544" t="s">
        <v>41</v>
      </c>
      <c r="B1544" t="s">
        <v>111</v>
      </c>
      <c r="C1544" t="s">
        <v>196</v>
      </c>
      <c r="D1544">
        <v>2670</v>
      </c>
      <c r="E1544">
        <v>2670</v>
      </c>
      <c r="F1544">
        <v>2670</v>
      </c>
      <c r="I1544">
        <v>2670</v>
      </c>
      <c r="J1544">
        <v>2670</v>
      </c>
      <c r="K1544">
        <v>2670</v>
      </c>
    </row>
    <row r="1545" spans="1:12" x14ac:dyDescent="0.2">
      <c r="A1545" t="s">
        <v>41</v>
      </c>
      <c r="B1545" t="s">
        <v>111</v>
      </c>
      <c r="C1545" t="s">
        <v>197</v>
      </c>
      <c r="D1545">
        <v>8201.5300000000007</v>
      </c>
      <c r="E1545">
        <v>8201.5300000000007</v>
      </c>
      <c r="I1545">
        <v>8201.5300000000007</v>
      </c>
      <c r="J1545">
        <v>8201.5300000000007</v>
      </c>
    </row>
    <row r="1546" spans="1:12" x14ac:dyDescent="0.2">
      <c r="A1546" t="s">
        <v>41</v>
      </c>
      <c r="B1546" t="s">
        <v>111</v>
      </c>
      <c r="C1546" t="s">
        <v>198</v>
      </c>
      <c r="D1546">
        <v>8142</v>
      </c>
      <c r="I1546">
        <v>7187</v>
      </c>
    </row>
    <row r="1547" spans="1:12" x14ac:dyDescent="0.2">
      <c r="A1547" t="s">
        <v>41</v>
      </c>
      <c r="B1547" t="s">
        <v>112</v>
      </c>
      <c r="C1547" t="s">
        <v>195</v>
      </c>
      <c r="D1547">
        <v>5005</v>
      </c>
      <c r="E1547">
        <v>4705</v>
      </c>
      <c r="F1547">
        <v>4705</v>
      </c>
      <c r="G1547">
        <v>4705</v>
      </c>
      <c r="I1547">
        <v>4705</v>
      </c>
      <c r="J1547">
        <v>4705</v>
      </c>
      <c r="K1547">
        <v>4705</v>
      </c>
      <c r="L1547">
        <v>4705</v>
      </c>
    </row>
    <row r="1548" spans="1:12" x14ac:dyDescent="0.2">
      <c r="A1548" t="s">
        <v>41</v>
      </c>
      <c r="B1548" t="s">
        <v>112</v>
      </c>
      <c r="C1548" t="s">
        <v>196</v>
      </c>
      <c r="D1548">
        <v>3075.44</v>
      </c>
      <c r="E1548">
        <v>3075.44</v>
      </c>
      <c r="F1548">
        <v>3075.44</v>
      </c>
      <c r="I1548">
        <v>3075.44</v>
      </c>
      <c r="J1548">
        <v>3075.44</v>
      </c>
      <c r="K1548">
        <v>3075.44</v>
      </c>
    </row>
    <row r="1549" spans="1:12" x14ac:dyDescent="0.2">
      <c r="A1549" t="s">
        <v>41</v>
      </c>
      <c r="B1549" t="s">
        <v>112</v>
      </c>
      <c r="C1549" t="s">
        <v>197</v>
      </c>
      <c r="D1549">
        <v>3948.16</v>
      </c>
      <c r="E1549">
        <v>3948.16</v>
      </c>
      <c r="I1549">
        <v>3948.16</v>
      </c>
      <c r="J1549">
        <v>3948.16</v>
      </c>
    </row>
    <row r="1550" spans="1:12" x14ac:dyDescent="0.2">
      <c r="A1550" t="s">
        <v>41</v>
      </c>
      <c r="B1550" t="s">
        <v>112</v>
      </c>
      <c r="C1550" t="s">
        <v>198</v>
      </c>
      <c r="D1550">
        <v>6275</v>
      </c>
      <c r="I1550">
        <v>6275</v>
      </c>
    </row>
    <row r="1551" spans="1:12" x14ac:dyDescent="0.2">
      <c r="A1551" t="s">
        <v>41</v>
      </c>
      <c r="B1551" t="s">
        <v>115</v>
      </c>
      <c r="C1551" t="s">
        <v>195</v>
      </c>
      <c r="D1551">
        <v>21149</v>
      </c>
      <c r="E1551">
        <v>19112</v>
      </c>
      <c r="F1551">
        <v>18652</v>
      </c>
      <c r="G1551">
        <v>18652</v>
      </c>
      <c r="I1551">
        <v>10170</v>
      </c>
      <c r="J1551">
        <v>13573</v>
      </c>
      <c r="K1551">
        <v>14703</v>
      </c>
      <c r="L1551">
        <v>15716</v>
      </c>
    </row>
    <row r="1552" spans="1:12" x14ac:dyDescent="0.2">
      <c r="A1552" t="s">
        <v>41</v>
      </c>
      <c r="B1552" t="s">
        <v>115</v>
      </c>
      <c r="C1552" t="s">
        <v>196</v>
      </c>
      <c r="D1552">
        <v>32263.5</v>
      </c>
      <c r="E1552">
        <v>31171</v>
      </c>
      <c r="F1552">
        <v>31010</v>
      </c>
      <c r="I1552">
        <v>17995.5</v>
      </c>
      <c r="J1552">
        <v>27284</v>
      </c>
      <c r="K1552">
        <v>28060</v>
      </c>
    </row>
    <row r="1553" spans="1:12" x14ac:dyDescent="0.2">
      <c r="A1553" t="s">
        <v>41</v>
      </c>
      <c r="B1553" t="s">
        <v>115</v>
      </c>
      <c r="C1553" t="s">
        <v>197</v>
      </c>
      <c r="D1553">
        <v>49336.5</v>
      </c>
      <c r="E1553">
        <v>45995</v>
      </c>
      <c r="I1553">
        <v>22983.5</v>
      </c>
      <c r="J1553">
        <v>37884</v>
      </c>
    </row>
    <row r="1554" spans="1:12" x14ac:dyDescent="0.2">
      <c r="A1554" t="s">
        <v>41</v>
      </c>
      <c r="B1554" t="s">
        <v>115</v>
      </c>
      <c r="C1554" t="s">
        <v>198</v>
      </c>
      <c r="D1554">
        <v>57757</v>
      </c>
      <c r="I1554">
        <v>26406.5</v>
      </c>
    </row>
    <row r="1555" spans="1:12" x14ac:dyDescent="0.2">
      <c r="A1555" t="s">
        <v>41</v>
      </c>
      <c r="B1555" t="s">
        <v>113</v>
      </c>
      <c r="C1555" t="s">
        <v>195</v>
      </c>
      <c r="D1555">
        <v>1476</v>
      </c>
      <c r="E1555">
        <v>1476</v>
      </c>
      <c r="F1555">
        <v>1476</v>
      </c>
      <c r="G1555">
        <v>1476</v>
      </c>
      <c r="I1555">
        <v>1476</v>
      </c>
      <c r="J1555">
        <v>1476</v>
      </c>
      <c r="K1555">
        <v>1476</v>
      </c>
      <c r="L1555">
        <v>1476</v>
      </c>
    </row>
    <row r="1556" spans="1:12" x14ac:dyDescent="0.2">
      <c r="A1556" t="s">
        <v>41</v>
      </c>
      <c r="B1556" t="s">
        <v>113</v>
      </c>
      <c r="C1556" t="s">
        <v>196</v>
      </c>
      <c r="D1556">
        <v>2470</v>
      </c>
      <c r="E1556">
        <v>2470</v>
      </c>
      <c r="F1556">
        <v>2470</v>
      </c>
      <c r="I1556">
        <v>2470</v>
      </c>
      <c r="J1556">
        <v>2470</v>
      </c>
      <c r="K1556">
        <v>2470</v>
      </c>
    </row>
    <row r="1557" spans="1:12" x14ac:dyDescent="0.2">
      <c r="A1557" t="s">
        <v>41</v>
      </c>
      <c r="B1557" t="s">
        <v>113</v>
      </c>
      <c r="C1557" t="s">
        <v>197</v>
      </c>
      <c r="D1557">
        <v>1351</v>
      </c>
      <c r="E1557">
        <v>1351</v>
      </c>
      <c r="I1557">
        <v>1351</v>
      </c>
      <c r="J1557">
        <v>1351</v>
      </c>
    </row>
    <row r="1558" spans="1:12" x14ac:dyDescent="0.2">
      <c r="A1558" t="s">
        <v>41</v>
      </c>
      <c r="B1558" t="s">
        <v>113</v>
      </c>
      <c r="C1558" t="s">
        <v>198</v>
      </c>
      <c r="D1558">
        <v>2896</v>
      </c>
      <c r="I1558">
        <v>2896</v>
      </c>
    </row>
    <row r="1559" spans="1:12" x14ac:dyDescent="0.2">
      <c r="A1559" t="s">
        <v>41</v>
      </c>
      <c r="B1559" t="s">
        <v>72</v>
      </c>
      <c r="C1559" t="s">
        <v>195</v>
      </c>
      <c r="D1559">
        <v>1951.5</v>
      </c>
      <c r="E1559">
        <v>1543.5</v>
      </c>
      <c r="F1559">
        <v>1543.5</v>
      </c>
      <c r="G1559">
        <v>1543.5</v>
      </c>
      <c r="I1559">
        <v>1543.5</v>
      </c>
      <c r="J1559">
        <v>1543.5</v>
      </c>
      <c r="K1559">
        <v>1543.5</v>
      </c>
      <c r="L1559">
        <v>1543.5</v>
      </c>
    </row>
    <row r="1560" spans="1:12" x14ac:dyDescent="0.2">
      <c r="A1560" t="s">
        <v>41</v>
      </c>
      <c r="B1560" t="s">
        <v>72</v>
      </c>
      <c r="C1560" t="s">
        <v>196</v>
      </c>
      <c r="D1560">
        <v>4036.5</v>
      </c>
      <c r="E1560">
        <v>4036.5</v>
      </c>
      <c r="F1560">
        <v>4036.5</v>
      </c>
      <c r="I1560">
        <v>3628.5</v>
      </c>
      <c r="J1560">
        <v>3628.5</v>
      </c>
      <c r="K1560">
        <v>3628.5</v>
      </c>
    </row>
    <row r="1561" spans="1:12" x14ac:dyDescent="0.2">
      <c r="A1561" t="s">
        <v>41</v>
      </c>
      <c r="B1561" t="s">
        <v>72</v>
      </c>
      <c r="C1561" t="s">
        <v>197</v>
      </c>
      <c r="D1561">
        <v>3929.5</v>
      </c>
      <c r="E1561">
        <v>3929.5</v>
      </c>
      <c r="I1561">
        <v>3676</v>
      </c>
      <c r="J1561">
        <v>3676</v>
      </c>
    </row>
    <row r="1562" spans="1:12" x14ac:dyDescent="0.2">
      <c r="A1562" t="s">
        <v>41</v>
      </c>
      <c r="B1562" t="s">
        <v>72</v>
      </c>
      <c r="C1562" t="s">
        <v>198</v>
      </c>
      <c r="D1562">
        <v>6271</v>
      </c>
      <c r="I1562">
        <v>5421</v>
      </c>
    </row>
    <row r="1563" spans="1:12" x14ac:dyDescent="0.2">
      <c r="A1563" t="s">
        <v>42</v>
      </c>
      <c r="B1563" t="s">
        <v>109</v>
      </c>
      <c r="C1563" t="s">
        <v>195</v>
      </c>
      <c r="D1563">
        <v>74245</v>
      </c>
      <c r="E1563">
        <v>71292</v>
      </c>
      <c r="F1563">
        <v>71292</v>
      </c>
      <c r="G1563">
        <v>70220.5</v>
      </c>
      <c r="I1563">
        <v>2672.7</v>
      </c>
      <c r="J1563">
        <v>8280.89</v>
      </c>
      <c r="K1563">
        <v>10866.16</v>
      </c>
      <c r="L1563">
        <v>13626</v>
      </c>
    </row>
    <row r="1564" spans="1:12" x14ac:dyDescent="0.2">
      <c r="A1564" t="s">
        <v>42</v>
      </c>
      <c r="B1564" t="s">
        <v>109</v>
      </c>
      <c r="C1564" t="s">
        <v>196</v>
      </c>
      <c r="D1564">
        <v>109463</v>
      </c>
      <c r="E1564">
        <v>111223</v>
      </c>
      <c r="F1564">
        <v>111113</v>
      </c>
      <c r="I1564">
        <v>3316.89</v>
      </c>
      <c r="J1564">
        <v>8244.66</v>
      </c>
      <c r="K1564">
        <v>11198.54</v>
      </c>
    </row>
    <row r="1565" spans="1:12" x14ac:dyDescent="0.2">
      <c r="A1565" t="s">
        <v>42</v>
      </c>
      <c r="B1565" t="s">
        <v>109</v>
      </c>
      <c r="C1565" t="s">
        <v>197</v>
      </c>
      <c r="D1565">
        <v>140780.45000000001</v>
      </c>
      <c r="E1565">
        <v>140127.45000000001</v>
      </c>
      <c r="I1565">
        <v>3004.67</v>
      </c>
      <c r="J1565">
        <v>10124.48</v>
      </c>
    </row>
    <row r="1566" spans="1:12" x14ac:dyDescent="0.2">
      <c r="A1566" t="s">
        <v>42</v>
      </c>
      <c r="B1566" t="s">
        <v>109</v>
      </c>
      <c r="C1566" t="s">
        <v>198</v>
      </c>
      <c r="D1566">
        <v>119211.5</v>
      </c>
      <c r="I1566">
        <v>219.82</v>
      </c>
    </row>
    <row r="1567" spans="1:12" x14ac:dyDescent="0.2">
      <c r="A1567" t="s">
        <v>42</v>
      </c>
      <c r="B1567" t="s">
        <v>145</v>
      </c>
      <c r="C1567" t="s">
        <v>195</v>
      </c>
      <c r="D1567">
        <v>0</v>
      </c>
      <c r="E1567">
        <v>0</v>
      </c>
      <c r="F1567">
        <v>0</v>
      </c>
      <c r="G1567">
        <v>0</v>
      </c>
      <c r="I1567">
        <v>0</v>
      </c>
      <c r="J1567">
        <v>0</v>
      </c>
      <c r="K1567">
        <v>0</v>
      </c>
      <c r="L1567">
        <v>0</v>
      </c>
    </row>
    <row r="1568" spans="1:12" x14ac:dyDescent="0.2">
      <c r="A1568" t="s">
        <v>42</v>
      </c>
      <c r="B1568" t="s">
        <v>145</v>
      </c>
      <c r="C1568" t="s">
        <v>196</v>
      </c>
      <c r="D1568">
        <v>0</v>
      </c>
      <c r="E1568">
        <v>0</v>
      </c>
      <c r="F1568">
        <v>0</v>
      </c>
      <c r="I1568">
        <v>0</v>
      </c>
      <c r="J1568">
        <v>0</v>
      </c>
      <c r="K1568">
        <v>0</v>
      </c>
    </row>
    <row r="1569" spans="1:12" x14ac:dyDescent="0.2">
      <c r="A1569" t="s">
        <v>42</v>
      </c>
      <c r="B1569" t="s">
        <v>145</v>
      </c>
      <c r="C1569" t="s">
        <v>197</v>
      </c>
      <c r="D1569">
        <v>0</v>
      </c>
      <c r="E1569">
        <v>100</v>
      </c>
      <c r="I1569">
        <v>0</v>
      </c>
      <c r="J1569">
        <v>0</v>
      </c>
    </row>
    <row r="1570" spans="1:12" x14ac:dyDescent="0.2">
      <c r="A1570" t="s">
        <v>42</v>
      </c>
      <c r="B1570" t="s">
        <v>145</v>
      </c>
      <c r="C1570" t="s">
        <v>198</v>
      </c>
      <c r="D1570">
        <v>0</v>
      </c>
      <c r="I1570">
        <v>0</v>
      </c>
    </row>
    <row r="1571" spans="1:12" x14ac:dyDescent="0.2">
      <c r="A1571" t="s">
        <v>42</v>
      </c>
      <c r="B1571" t="s">
        <v>110</v>
      </c>
      <c r="C1571" t="s">
        <v>195</v>
      </c>
      <c r="D1571">
        <v>23688.400000000001</v>
      </c>
      <c r="E1571">
        <v>23838.400000000001</v>
      </c>
      <c r="F1571">
        <v>23838.400000000001</v>
      </c>
      <c r="G1571">
        <v>23838.400000000001</v>
      </c>
      <c r="I1571">
        <v>3756.1</v>
      </c>
      <c r="J1571">
        <v>6839.7</v>
      </c>
      <c r="K1571">
        <v>7400.2</v>
      </c>
      <c r="L1571">
        <v>7762.7</v>
      </c>
    </row>
    <row r="1572" spans="1:12" x14ac:dyDescent="0.2">
      <c r="A1572" t="s">
        <v>42</v>
      </c>
      <c r="B1572" t="s">
        <v>110</v>
      </c>
      <c r="C1572" t="s">
        <v>196</v>
      </c>
      <c r="D1572">
        <v>19087.3</v>
      </c>
      <c r="E1572">
        <v>19053.3</v>
      </c>
      <c r="F1572">
        <v>19053.3</v>
      </c>
      <c r="I1572">
        <v>3255.5</v>
      </c>
      <c r="J1572">
        <v>4656.5</v>
      </c>
      <c r="K1572">
        <v>4856.5</v>
      </c>
    </row>
    <row r="1573" spans="1:12" x14ac:dyDescent="0.2">
      <c r="A1573" t="s">
        <v>42</v>
      </c>
      <c r="B1573" t="s">
        <v>110</v>
      </c>
      <c r="C1573" t="s">
        <v>197</v>
      </c>
      <c r="D1573">
        <v>16582.7</v>
      </c>
      <c r="E1573">
        <v>16632.7</v>
      </c>
      <c r="I1573">
        <v>2185</v>
      </c>
      <c r="J1573">
        <v>3932.5</v>
      </c>
    </row>
    <row r="1574" spans="1:12" x14ac:dyDescent="0.2">
      <c r="A1574" t="s">
        <v>42</v>
      </c>
      <c r="B1574" t="s">
        <v>110</v>
      </c>
      <c r="C1574" t="s">
        <v>198</v>
      </c>
      <c r="D1574">
        <v>19545</v>
      </c>
      <c r="I1574">
        <v>3284</v>
      </c>
    </row>
    <row r="1575" spans="1:12" x14ac:dyDescent="0.2">
      <c r="A1575" t="s">
        <v>42</v>
      </c>
      <c r="B1575" t="s">
        <v>116</v>
      </c>
      <c r="C1575" t="s">
        <v>195</v>
      </c>
      <c r="D1575">
        <v>457</v>
      </c>
      <c r="E1575">
        <v>457</v>
      </c>
      <c r="F1575">
        <v>457</v>
      </c>
      <c r="G1575">
        <v>457</v>
      </c>
      <c r="I1575">
        <v>207</v>
      </c>
      <c r="J1575">
        <v>207</v>
      </c>
      <c r="K1575">
        <v>207</v>
      </c>
      <c r="L1575">
        <v>307</v>
      </c>
    </row>
    <row r="1576" spans="1:12" x14ac:dyDescent="0.2">
      <c r="A1576" t="s">
        <v>42</v>
      </c>
      <c r="B1576" t="s">
        <v>116</v>
      </c>
      <c r="C1576" t="s">
        <v>196</v>
      </c>
      <c r="D1576">
        <v>603.5</v>
      </c>
      <c r="E1576">
        <v>453.5</v>
      </c>
      <c r="F1576">
        <v>453.5</v>
      </c>
      <c r="I1576">
        <v>303.5</v>
      </c>
      <c r="J1576">
        <v>303.5</v>
      </c>
      <c r="K1576">
        <v>303.5</v>
      </c>
    </row>
    <row r="1577" spans="1:12" x14ac:dyDescent="0.2">
      <c r="A1577" t="s">
        <v>42</v>
      </c>
      <c r="B1577" t="s">
        <v>116</v>
      </c>
      <c r="C1577" t="s">
        <v>197</v>
      </c>
      <c r="D1577">
        <v>700</v>
      </c>
      <c r="E1577">
        <v>700</v>
      </c>
      <c r="I1577">
        <v>0</v>
      </c>
      <c r="J1577">
        <v>0</v>
      </c>
    </row>
    <row r="1578" spans="1:12" x14ac:dyDescent="0.2">
      <c r="A1578" t="s">
        <v>42</v>
      </c>
      <c r="B1578" t="s">
        <v>116</v>
      </c>
      <c r="C1578" t="s">
        <v>198</v>
      </c>
      <c r="D1578">
        <v>1303.5</v>
      </c>
      <c r="I1578">
        <v>103.5</v>
      </c>
    </row>
    <row r="1579" spans="1:12" x14ac:dyDescent="0.2">
      <c r="A1579" t="s">
        <v>42</v>
      </c>
      <c r="B1579" t="s">
        <v>114</v>
      </c>
      <c r="C1579" t="s">
        <v>195</v>
      </c>
      <c r="D1579">
        <v>42851.5</v>
      </c>
      <c r="E1579">
        <v>42868.5</v>
      </c>
      <c r="F1579">
        <v>43543.4</v>
      </c>
      <c r="G1579">
        <v>43543.4</v>
      </c>
      <c r="I1579">
        <v>13562.8</v>
      </c>
      <c r="J1579">
        <v>22462.7</v>
      </c>
      <c r="K1579">
        <v>27067.200000000001</v>
      </c>
      <c r="L1579">
        <v>28281.4</v>
      </c>
    </row>
    <row r="1580" spans="1:12" x14ac:dyDescent="0.2">
      <c r="A1580" t="s">
        <v>42</v>
      </c>
      <c r="B1580" t="s">
        <v>114</v>
      </c>
      <c r="C1580" t="s">
        <v>196</v>
      </c>
      <c r="D1580">
        <v>50490.5</v>
      </c>
      <c r="E1580">
        <v>51871.4</v>
      </c>
      <c r="F1580">
        <v>51871.4</v>
      </c>
      <c r="I1580">
        <v>11710.6</v>
      </c>
      <c r="J1580">
        <v>21930.6</v>
      </c>
      <c r="K1580">
        <v>25149.1</v>
      </c>
    </row>
    <row r="1581" spans="1:12" x14ac:dyDescent="0.2">
      <c r="A1581" t="s">
        <v>42</v>
      </c>
      <c r="B1581" t="s">
        <v>114</v>
      </c>
      <c r="C1581" t="s">
        <v>197</v>
      </c>
      <c r="D1581">
        <v>39904.9</v>
      </c>
      <c r="E1581">
        <v>40902.300000000003</v>
      </c>
      <c r="I1581">
        <v>8960.4</v>
      </c>
      <c r="J1581">
        <v>18771.7</v>
      </c>
    </row>
    <row r="1582" spans="1:12" x14ac:dyDescent="0.2">
      <c r="A1582" t="s">
        <v>42</v>
      </c>
      <c r="B1582" t="s">
        <v>114</v>
      </c>
      <c r="C1582" t="s">
        <v>198</v>
      </c>
      <c r="D1582">
        <v>41574.5</v>
      </c>
      <c r="I1582">
        <v>12690.8</v>
      </c>
    </row>
    <row r="1583" spans="1:12" x14ac:dyDescent="0.2">
      <c r="A1583" t="s">
        <v>42</v>
      </c>
      <c r="B1583" t="s">
        <v>111</v>
      </c>
      <c r="C1583" t="s">
        <v>195</v>
      </c>
      <c r="D1583">
        <v>15140</v>
      </c>
      <c r="E1583">
        <v>15140</v>
      </c>
      <c r="F1583">
        <v>15140</v>
      </c>
      <c r="G1583">
        <v>15140</v>
      </c>
      <c r="I1583">
        <v>14740</v>
      </c>
      <c r="J1583">
        <v>14740</v>
      </c>
      <c r="K1583">
        <v>14740</v>
      </c>
      <c r="L1583">
        <v>14740</v>
      </c>
    </row>
    <row r="1584" spans="1:12" x14ac:dyDescent="0.2">
      <c r="A1584" t="s">
        <v>42</v>
      </c>
      <c r="B1584" t="s">
        <v>111</v>
      </c>
      <c r="C1584" t="s">
        <v>196</v>
      </c>
      <c r="D1584">
        <v>13460</v>
      </c>
      <c r="E1584">
        <v>12660</v>
      </c>
      <c r="F1584">
        <v>12660</v>
      </c>
      <c r="I1584">
        <v>11020</v>
      </c>
      <c r="J1584">
        <v>11060</v>
      </c>
      <c r="K1584">
        <v>11060</v>
      </c>
    </row>
    <row r="1585" spans="1:12" x14ac:dyDescent="0.2">
      <c r="A1585" t="s">
        <v>42</v>
      </c>
      <c r="B1585" t="s">
        <v>111</v>
      </c>
      <c r="C1585" t="s">
        <v>197</v>
      </c>
      <c r="D1585">
        <v>15511</v>
      </c>
      <c r="E1585">
        <v>15511</v>
      </c>
      <c r="I1585">
        <v>14671</v>
      </c>
      <c r="J1585">
        <v>15111</v>
      </c>
    </row>
    <row r="1586" spans="1:12" x14ac:dyDescent="0.2">
      <c r="A1586" t="s">
        <v>42</v>
      </c>
      <c r="B1586" t="s">
        <v>111</v>
      </c>
      <c r="C1586" t="s">
        <v>198</v>
      </c>
      <c r="D1586">
        <v>85579</v>
      </c>
      <c r="I1586">
        <v>85179</v>
      </c>
    </row>
    <row r="1587" spans="1:12" x14ac:dyDescent="0.2">
      <c r="A1587" t="s">
        <v>42</v>
      </c>
      <c r="B1587" t="s">
        <v>112</v>
      </c>
      <c r="C1587" t="s">
        <v>195</v>
      </c>
      <c r="D1587">
        <v>15747.47</v>
      </c>
      <c r="E1587">
        <v>15747.47</v>
      </c>
      <c r="F1587">
        <v>15747.47</v>
      </c>
      <c r="G1587">
        <v>15747.47</v>
      </c>
      <c r="I1587">
        <v>15739.75</v>
      </c>
      <c r="J1587">
        <v>15739.75</v>
      </c>
      <c r="K1587">
        <v>15739.75</v>
      </c>
      <c r="L1587">
        <v>15739.75</v>
      </c>
    </row>
    <row r="1588" spans="1:12" x14ac:dyDescent="0.2">
      <c r="A1588" t="s">
        <v>42</v>
      </c>
      <c r="B1588" t="s">
        <v>112</v>
      </c>
      <c r="C1588" t="s">
        <v>196</v>
      </c>
      <c r="D1588">
        <v>19820.86</v>
      </c>
      <c r="E1588">
        <v>19820.86</v>
      </c>
      <c r="F1588">
        <v>19820.86</v>
      </c>
      <c r="I1588">
        <v>19510.86</v>
      </c>
      <c r="J1588">
        <v>19820.86</v>
      </c>
      <c r="K1588">
        <v>19820.86</v>
      </c>
    </row>
    <row r="1589" spans="1:12" x14ac:dyDescent="0.2">
      <c r="A1589" t="s">
        <v>42</v>
      </c>
      <c r="B1589" t="s">
        <v>112</v>
      </c>
      <c r="C1589" t="s">
        <v>197</v>
      </c>
      <c r="D1589">
        <v>17292.37</v>
      </c>
      <c r="E1589">
        <v>17292.37</v>
      </c>
      <c r="I1589">
        <v>17292.37</v>
      </c>
      <c r="J1589">
        <v>17292.37</v>
      </c>
    </row>
    <row r="1590" spans="1:12" x14ac:dyDescent="0.2">
      <c r="A1590" t="s">
        <v>42</v>
      </c>
      <c r="B1590" t="s">
        <v>112</v>
      </c>
      <c r="C1590" t="s">
        <v>198</v>
      </c>
      <c r="D1590">
        <v>23431.89</v>
      </c>
      <c r="I1590">
        <v>23421.89</v>
      </c>
    </row>
    <row r="1591" spans="1:12" x14ac:dyDescent="0.2">
      <c r="A1591" t="s">
        <v>42</v>
      </c>
      <c r="B1591" t="s">
        <v>115</v>
      </c>
      <c r="C1591" t="s">
        <v>195</v>
      </c>
      <c r="D1591">
        <v>322749.64</v>
      </c>
      <c r="E1591">
        <v>308513.64</v>
      </c>
      <c r="F1591">
        <v>302085.64</v>
      </c>
      <c r="G1591">
        <v>301882.64</v>
      </c>
      <c r="I1591">
        <v>128067.64</v>
      </c>
      <c r="J1591">
        <v>219088.04</v>
      </c>
      <c r="K1591">
        <v>246328.24</v>
      </c>
      <c r="L1591">
        <v>252028.64</v>
      </c>
    </row>
    <row r="1592" spans="1:12" x14ac:dyDescent="0.2">
      <c r="A1592" t="s">
        <v>42</v>
      </c>
      <c r="B1592" t="s">
        <v>115</v>
      </c>
      <c r="C1592" t="s">
        <v>196</v>
      </c>
      <c r="D1592">
        <v>395672.5</v>
      </c>
      <c r="E1592">
        <v>379909</v>
      </c>
      <c r="F1592">
        <v>378265</v>
      </c>
      <c r="I1592">
        <v>182554.5</v>
      </c>
      <c r="J1592">
        <v>274697.5</v>
      </c>
      <c r="K1592">
        <v>287022.5</v>
      </c>
    </row>
    <row r="1593" spans="1:12" x14ac:dyDescent="0.2">
      <c r="A1593" t="s">
        <v>42</v>
      </c>
      <c r="B1593" t="s">
        <v>115</v>
      </c>
      <c r="C1593" t="s">
        <v>197</v>
      </c>
      <c r="D1593">
        <v>504520</v>
      </c>
      <c r="E1593">
        <v>492335</v>
      </c>
      <c r="I1593">
        <v>223388</v>
      </c>
      <c r="J1593">
        <v>340827.81</v>
      </c>
    </row>
    <row r="1594" spans="1:12" x14ac:dyDescent="0.2">
      <c r="A1594" t="s">
        <v>42</v>
      </c>
      <c r="B1594" t="s">
        <v>115</v>
      </c>
      <c r="C1594" t="s">
        <v>198</v>
      </c>
      <c r="D1594">
        <v>471670</v>
      </c>
      <c r="I1594">
        <v>232434.5</v>
      </c>
    </row>
    <row r="1595" spans="1:12" x14ac:dyDescent="0.2">
      <c r="A1595" t="s">
        <v>42</v>
      </c>
      <c r="B1595" t="s">
        <v>113</v>
      </c>
      <c r="C1595" t="s">
        <v>195</v>
      </c>
      <c r="D1595">
        <v>6642</v>
      </c>
      <c r="E1595">
        <v>6642</v>
      </c>
      <c r="F1595">
        <v>6642</v>
      </c>
      <c r="G1595">
        <v>6642</v>
      </c>
      <c r="I1595">
        <v>6411</v>
      </c>
      <c r="J1595">
        <v>6642</v>
      </c>
      <c r="K1595">
        <v>6642</v>
      </c>
      <c r="L1595">
        <v>6642</v>
      </c>
    </row>
    <row r="1596" spans="1:12" x14ac:dyDescent="0.2">
      <c r="A1596" t="s">
        <v>42</v>
      </c>
      <c r="B1596" t="s">
        <v>113</v>
      </c>
      <c r="C1596" t="s">
        <v>196</v>
      </c>
      <c r="D1596">
        <v>7382</v>
      </c>
      <c r="E1596">
        <v>7382</v>
      </c>
      <c r="F1596">
        <v>7382</v>
      </c>
      <c r="I1596">
        <v>7382</v>
      </c>
      <c r="J1596">
        <v>7382</v>
      </c>
      <c r="K1596">
        <v>7382</v>
      </c>
    </row>
    <row r="1597" spans="1:12" x14ac:dyDescent="0.2">
      <c r="A1597" t="s">
        <v>42</v>
      </c>
      <c r="B1597" t="s">
        <v>113</v>
      </c>
      <c r="C1597" t="s">
        <v>197</v>
      </c>
      <c r="D1597">
        <v>7146</v>
      </c>
      <c r="E1597">
        <v>7201</v>
      </c>
      <c r="I1597">
        <v>7146</v>
      </c>
      <c r="J1597">
        <v>7201</v>
      </c>
    </row>
    <row r="1598" spans="1:12" x14ac:dyDescent="0.2">
      <c r="A1598" t="s">
        <v>42</v>
      </c>
      <c r="B1598" t="s">
        <v>113</v>
      </c>
      <c r="C1598" t="s">
        <v>198</v>
      </c>
      <c r="D1598">
        <v>6495</v>
      </c>
      <c r="I1598">
        <v>6495</v>
      </c>
    </row>
    <row r="1599" spans="1:12" x14ac:dyDescent="0.2">
      <c r="A1599" t="s">
        <v>42</v>
      </c>
      <c r="B1599" t="s">
        <v>72</v>
      </c>
      <c r="C1599" t="s">
        <v>195</v>
      </c>
      <c r="D1599">
        <v>8181</v>
      </c>
      <c r="E1599">
        <v>8181</v>
      </c>
      <c r="F1599">
        <v>8181</v>
      </c>
      <c r="G1599">
        <v>8181</v>
      </c>
      <c r="I1599">
        <v>8181</v>
      </c>
      <c r="J1599">
        <v>8181</v>
      </c>
      <c r="K1599">
        <v>8181</v>
      </c>
      <c r="L1599">
        <v>8181</v>
      </c>
    </row>
    <row r="1600" spans="1:12" x14ac:dyDescent="0.2">
      <c r="A1600" t="s">
        <v>42</v>
      </c>
      <c r="B1600" t="s">
        <v>72</v>
      </c>
      <c r="C1600" t="s">
        <v>196</v>
      </c>
      <c r="D1600">
        <v>11951</v>
      </c>
      <c r="E1600">
        <v>11543</v>
      </c>
      <c r="F1600">
        <v>11543</v>
      </c>
      <c r="I1600">
        <v>11135</v>
      </c>
      <c r="J1600">
        <v>11135</v>
      </c>
      <c r="K1600">
        <v>11135</v>
      </c>
    </row>
    <row r="1601" spans="1:12" x14ac:dyDescent="0.2">
      <c r="A1601" t="s">
        <v>42</v>
      </c>
      <c r="B1601" t="s">
        <v>72</v>
      </c>
      <c r="C1601" t="s">
        <v>197</v>
      </c>
      <c r="D1601">
        <v>10062</v>
      </c>
      <c r="E1601">
        <v>10062</v>
      </c>
      <c r="I1601">
        <v>9212</v>
      </c>
      <c r="J1601">
        <v>9212</v>
      </c>
    </row>
    <row r="1602" spans="1:12" x14ac:dyDescent="0.2">
      <c r="A1602" t="s">
        <v>42</v>
      </c>
      <c r="B1602" t="s">
        <v>72</v>
      </c>
      <c r="C1602" t="s">
        <v>198</v>
      </c>
      <c r="D1602">
        <v>7358.5</v>
      </c>
      <c r="I1602">
        <v>6134.5</v>
      </c>
    </row>
    <row r="1603" spans="1:12" x14ac:dyDescent="0.2">
      <c r="A1603" t="s">
        <v>43</v>
      </c>
      <c r="B1603" t="s">
        <v>109</v>
      </c>
      <c r="C1603" t="s">
        <v>195</v>
      </c>
      <c r="D1603">
        <v>1429185.69</v>
      </c>
      <c r="E1603">
        <v>1423610.4</v>
      </c>
      <c r="F1603">
        <v>1508556.5</v>
      </c>
      <c r="G1603">
        <v>1502699.5</v>
      </c>
      <c r="I1603">
        <v>23955.67</v>
      </c>
      <c r="J1603">
        <v>45710.03</v>
      </c>
      <c r="K1603">
        <v>61423.48</v>
      </c>
      <c r="L1603">
        <v>75325.679999999993</v>
      </c>
    </row>
    <row r="1604" spans="1:12" x14ac:dyDescent="0.2">
      <c r="A1604" t="s">
        <v>43</v>
      </c>
      <c r="B1604" t="s">
        <v>109</v>
      </c>
      <c r="C1604" t="s">
        <v>196</v>
      </c>
      <c r="D1604">
        <v>1148328.01</v>
      </c>
      <c r="E1604">
        <v>1204915.6100000001</v>
      </c>
      <c r="F1604">
        <v>1200700.6100000001</v>
      </c>
      <c r="I1604">
        <v>34981.22</v>
      </c>
      <c r="J1604">
        <v>56193.06</v>
      </c>
      <c r="K1604">
        <v>73402.929999999993</v>
      </c>
    </row>
    <row r="1605" spans="1:12" x14ac:dyDescent="0.2">
      <c r="A1605" t="s">
        <v>43</v>
      </c>
      <c r="B1605" t="s">
        <v>109</v>
      </c>
      <c r="C1605" t="s">
        <v>197</v>
      </c>
      <c r="D1605">
        <v>1422745.96</v>
      </c>
      <c r="E1605">
        <v>1361528.15</v>
      </c>
      <c r="I1605">
        <v>25492.2</v>
      </c>
      <c r="J1605">
        <v>48089.03</v>
      </c>
    </row>
    <row r="1606" spans="1:12" x14ac:dyDescent="0.2">
      <c r="A1606" t="s">
        <v>43</v>
      </c>
      <c r="B1606" t="s">
        <v>109</v>
      </c>
      <c r="C1606" t="s">
        <v>198</v>
      </c>
      <c r="D1606">
        <v>1019715.52</v>
      </c>
      <c r="I1606">
        <v>23958.77</v>
      </c>
    </row>
    <row r="1607" spans="1:12" x14ac:dyDescent="0.2">
      <c r="A1607" t="s">
        <v>43</v>
      </c>
      <c r="B1607" t="s">
        <v>145</v>
      </c>
      <c r="C1607" t="s">
        <v>195</v>
      </c>
      <c r="D1607">
        <v>790426</v>
      </c>
      <c r="E1607">
        <v>790426</v>
      </c>
      <c r="F1607">
        <v>790426</v>
      </c>
      <c r="G1607">
        <v>790426</v>
      </c>
      <c r="I1607">
        <v>0</v>
      </c>
      <c r="J1607">
        <v>0</v>
      </c>
      <c r="K1607">
        <v>0</v>
      </c>
      <c r="L1607">
        <v>0</v>
      </c>
    </row>
    <row r="1608" spans="1:12" x14ac:dyDescent="0.2">
      <c r="A1608" t="s">
        <v>43</v>
      </c>
      <c r="B1608" t="s">
        <v>145</v>
      </c>
      <c r="C1608" t="s">
        <v>196</v>
      </c>
      <c r="D1608">
        <v>578968</v>
      </c>
      <c r="E1608">
        <v>578968</v>
      </c>
      <c r="F1608">
        <v>578968</v>
      </c>
      <c r="I1608">
        <v>0</v>
      </c>
      <c r="J1608">
        <v>0</v>
      </c>
      <c r="K1608">
        <v>0</v>
      </c>
    </row>
    <row r="1609" spans="1:12" x14ac:dyDescent="0.2">
      <c r="A1609" t="s">
        <v>43</v>
      </c>
      <c r="B1609" t="s">
        <v>145</v>
      </c>
      <c r="C1609" t="s">
        <v>197</v>
      </c>
      <c r="D1609">
        <v>630418</v>
      </c>
      <c r="E1609">
        <v>630418</v>
      </c>
      <c r="I1609">
        <v>0</v>
      </c>
      <c r="J1609">
        <v>0</v>
      </c>
    </row>
    <row r="1610" spans="1:12" x14ac:dyDescent="0.2">
      <c r="A1610" t="s">
        <v>43</v>
      </c>
      <c r="B1610" t="s">
        <v>145</v>
      </c>
      <c r="C1610" t="s">
        <v>198</v>
      </c>
      <c r="D1610">
        <v>421254</v>
      </c>
      <c r="I1610">
        <v>0</v>
      </c>
    </row>
    <row r="1611" spans="1:12" x14ac:dyDescent="0.2">
      <c r="A1611" t="s">
        <v>43</v>
      </c>
      <c r="B1611" t="s">
        <v>110</v>
      </c>
      <c r="C1611" t="s">
        <v>195</v>
      </c>
      <c r="D1611">
        <v>338773.63</v>
      </c>
      <c r="E1611">
        <v>334089.38</v>
      </c>
      <c r="F1611">
        <v>336881.13</v>
      </c>
      <c r="G1611">
        <v>334972.48</v>
      </c>
      <c r="I1611">
        <v>55849.95</v>
      </c>
      <c r="J1611">
        <v>99772.89</v>
      </c>
      <c r="K1611">
        <v>115520.98</v>
      </c>
      <c r="L1611">
        <v>124760.64</v>
      </c>
    </row>
    <row r="1612" spans="1:12" x14ac:dyDescent="0.2">
      <c r="A1612" t="s">
        <v>43</v>
      </c>
      <c r="B1612" t="s">
        <v>110</v>
      </c>
      <c r="C1612" t="s">
        <v>196</v>
      </c>
      <c r="D1612">
        <v>308982.75</v>
      </c>
      <c r="E1612">
        <v>308113</v>
      </c>
      <c r="F1612">
        <v>306043</v>
      </c>
      <c r="I1612">
        <v>54154.35</v>
      </c>
      <c r="J1612">
        <v>87886.35</v>
      </c>
      <c r="K1612">
        <v>100884.42</v>
      </c>
    </row>
    <row r="1613" spans="1:12" x14ac:dyDescent="0.2">
      <c r="A1613" t="s">
        <v>43</v>
      </c>
      <c r="B1613" t="s">
        <v>110</v>
      </c>
      <c r="C1613" t="s">
        <v>197</v>
      </c>
      <c r="D1613">
        <v>315173.53999999998</v>
      </c>
      <c r="E1613">
        <v>308680.53999999998</v>
      </c>
      <c r="I1613">
        <v>68205.59</v>
      </c>
      <c r="J1613">
        <v>95353.3</v>
      </c>
    </row>
    <row r="1614" spans="1:12" x14ac:dyDescent="0.2">
      <c r="A1614" t="s">
        <v>43</v>
      </c>
      <c r="B1614" t="s">
        <v>110</v>
      </c>
      <c r="C1614" t="s">
        <v>198</v>
      </c>
      <c r="D1614">
        <v>354141</v>
      </c>
      <c r="I1614">
        <v>59602.15</v>
      </c>
    </row>
    <row r="1615" spans="1:12" x14ac:dyDescent="0.2">
      <c r="A1615" t="s">
        <v>43</v>
      </c>
      <c r="B1615" t="s">
        <v>116</v>
      </c>
      <c r="C1615" t="s">
        <v>195</v>
      </c>
      <c r="D1615">
        <v>11888.5</v>
      </c>
      <c r="E1615">
        <v>11888.5</v>
      </c>
      <c r="F1615">
        <v>12088.5</v>
      </c>
      <c r="G1615">
        <v>11893.5</v>
      </c>
      <c r="I1615">
        <v>2198.5</v>
      </c>
      <c r="J1615">
        <v>2748.5</v>
      </c>
      <c r="K1615">
        <v>2898.5</v>
      </c>
      <c r="L1615">
        <v>3089.5</v>
      </c>
    </row>
    <row r="1616" spans="1:12" x14ac:dyDescent="0.2">
      <c r="A1616" t="s">
        <v>43</v>
      </c>
      <c r="B1616" t="s">
        <v>116</v>
      </c>
      <c r="C1616" t="s">
        <v>196</v>
      </c>
      <c r="D1616">
        <v>9432</v>
      </c>
      <c r="E1616">
        <v>9532</v>
      </c>
      <c r="F1616">
        <v>8992</v>
      </c>
      <c r="I1616">
        <v>2840</v>
      </c>
      <c r="J1616">
        <v>3040</v>
      </c>
      <c r="K1616">
        <v>2750</v>
      </c>
    </row>
    <row r="1617" spans="1:12" x14ac:dyDescent="0.2">
      <c r="A1617" t="s">
        <v>43</v>
      </c>
      <c r="B1617" t="s">
        <v>116</v>
      </c>
      <c r="C1617" t="s">
        <v>197</v>
      </c>
      <c r="D1617">
        <v>9858</v>
      </c>
      <c r="E1617">
        <v>9468</v>
      </c>
      <c r="I1617">
        <v>1958</v>
      </c>
      <c r="J1617">
        <v>2136</v>
      </c>
    </row>
    <row r="1618" spans="1:12" x14ac:dyDescent="0.2">
      <c r="A1618" t="s">
        <v>43</v>
      </c>
      <c r="B1618" t="s">
        <v>116</v>
      </c>
      <c r="C1618" t="s">
        <v>198</v>
      </c>
      <c r="D1618">
        <v>14668</v>
      </c>
      <c r="I1618">
        <v>3898</v>
      </c>
    </row>
    <row r="1619" spans="1:12" x14ac:dyDescent="0.2">
      <c r="A1619" t="s">
        <v>43</v>
      </c>
      <c r="B1619" t="s">
        <v>114</v>
      </c>
      <c r="C1619" t="s">
        <v>195</v>
      </c>
      <c r="D1619">
        <v>407463.79</v>
      </c>
      <c r="E1619">
        <v>399569.34</v>
      </c>
      <c r="F1619">
        <v>404245.34</v>
      </c>
      <c r="G1619">
        <v>399002.09</v>
      </c>
      <c r="I1619">
        <v>132136</v>
      </c>
      <c r="J1619">
        <v>197189.36</v>
      </c>
      <c r="K1619">
        <v>212051.56</v>
      </c>
      <c r="L1619">
        <v>231865.54</v>
      </c>
    </row>
    <row r="1620" spans="1:12" x14ac:dyDescent="0.2">
      <c r="A1620" t="s">
        <v>43</v>
      </c>
      <c r="B1620" t="s">
        <v>114</v>
      </c>
      <c r="C1620" t="s">
        <v>196</v>
      </c>
      <c r="D1620">
        <v>450739.29</v>
      </c>
      <c r="E1620">
        <v>458591.64</v>
      </c>
      <c r="F1620">
        <v>453308.64</v>
      </c>
      <c r="I1620">
        <v>169699</v>
      </c>
      <c r="J1620">
        <v>232256.86</v>
      </c>
      <c r="K1620">
        <v>248283.65</v>
      </c>
    </row>
    <row r="1621" spans="1:12" x14ac:dyDescent="0.2">
      <c r="A1621" t="s">
        <v>43</v>
      </c>
      <c r="B1621" t="s">
        <v>114</v>
      </c>
      <c r="C1621" t="s">
        <v>197</v>
      </c>
      <c r="D1621">
        <v>489794.75</v>
      </c>
      <c r="E1621">
        <v>482288.75</v>
      </c>
      <c r="I1621">
        <v>158398.51</v>
      </c>
      <c r="J1621">
        <v>209907.76</v>
      </c>
    </row>
    <row r="1622" spans="1:12" x14ac:dyDescent="0.2">
      <c r="A1622" t="s">
        <v>43</v>
      </c>
      <c r="B1622" t="s">
        <v>114</v>
      </c>
      <c r="C1622" t="s">
        <v>198</v>
      </c>
      <c r="D1622">
        <v>390399.5</v>
      </c>
      <c r="I1622">
        <v>119504.7</v>
      </c>
    </row>
    <row r="1623" spans="1:12" x14ac:dyDescent="0.2">
      <c r="A1623" t="s">
        <v>43</v>
      </c>
      <c r="B1623" t="s">
        <v>111</v>
      </c>
      <c r="C1623" t="s">
        <v>195</v>
      </c>
      <c r="D1623">
        <v>348760.76</v>
      </c>
      <c r="E1623">
        <v>348665.59999999998</v>
      </c>
      <c r="F1623">
        <v>347685.6</v>
      </c>
      <c r="G1623">
        <v>345590.6</v>
      </c>
      <c r="I1623">
        <v>344500.76</v>
      </c>
      <c r="J1623">
        <v>345615.6</v>
      </c>
      <c r="K1623">
        <v>345235.6</v>
      </c>
      <c r="L1623">
        <v>344380.6</v>
      </c>
    </row>
    <row r="1624" spans="1:12" x14ac:dyDescent="0.2">
      <c r="A1624" t="s">
        <v>43</v>
      </c>
      <c r="B1624" t="s">
        <v>111</v>
      </c>
      <c r="C1624" t="s">
        <v>196</v>
      </c>
      <c r="D1624">
        <v>448793.66</v>
      </c>
      <c r="E1624">
        <v>449003.66</v>
      </c>
      <c r="F1624">
        <v>448778.66</v>
      </c>
      <c r="I1624">
        <v>442366.66</v>
      </c>
      <c r="J1624">
        <v>445229.16</v>
      </c>
      <c r="K1624">
        <v>445309.16</v>
      </c>
    </row>
    <row r="1625" spans="1:12" x14ac:dyDescent="0.2">
      <c r="A1625" t="s">
        <v>43</v>
      </c>
      <c r="B1625" t="s">
        <v>111</v>
      </c>
      <c r="C1625" t="s">
        <v>197</v>
      </c>
      <c r="D1625">
        <v>513567.29</v>
      </c>
      <c r="E1625">
        <v>513092.29</v>
      </c>
      <c r="I1625">
        <v>494561.29</v>
      </c>
      <c r="J1625">
        <v>507469.79</v>
      </c>
    </row>
    <row r="1626" spans="1:12" x14ac:dyDescent="0.2">
      <c r="A1626" t="s">
        <v>43</v>
      </c>
      <c r="B1626" t="s">
        <v>111</v>
      </c>
      <c r="C1626" t="s">
        <v>198</v>
      </c>
      <c r="D1626">
        <v>428350.23</v>
      </c>
      <c r="I1626">
        <v>411927.73</v>
      </c>
    </row>
    <row r="1627" spans="1:12" x14ac:dyDescent="0.2">
      <c r="A1627" t="s">
        <v>43</v>
      </c>
      <c r="B1627" t="s">
        <v>112</v>
      </c>
      <c r="C1627" t="s">
        <v>195</v>
      </c>
      <c r="D1627">
        <v>294533.71000000002</v>
      </c>
      <c r="E1627">
        <v>294493.71000000002</v>
      </c>
      <c r="F1627">
        <v>294298.71000000002</v>
      </c>
      <c r="G1627">
        <v>294298.71000000002</v>
      </c>
      <c r="I1627">
        <v>296108.71000000002</v>
      </c>
      <c r="J1627">
        <v>288773.71000000002</v>
      </c>
      <c r="K1627">
        <v>288773.71000000002</v>
      </c>
      <c r="L1627">
        <v>288773.71000000002</v>
      </c>
    </row>
    <row r="1628" spans="1:12" x14ac:dyDescent="0.2">
      <c r="A1628" t="s">
        <v>43</v>
      </c>
      <c r="B1628" t="s">
        <v>112</v>
      </c>
      <c r="C1628" t="s">
        <v>196</v>
      </c>
      <c r="D1628">
        <v>330321.83</v>
      </c>
      <c r="E1628">
        <v>330326.83</v>
      </c>
      <c r="F1628">
        <v>330346.83</v>
      </c>
      <c r="I1628">
        <v>316635.48</v>
      </c>
      <c r="J1628">
        <v>321280.48</v>
      </c>
      <c r="K1628">
        <v>321900.48</v>
      </c>
    </row>
    <row r="1629" spans="1:12" x14ac:dyDescent="0.2">
      <c r="A1629" t="s">
        <v>43</v>
      </c>
      <c r="B1629" t="s">
        <v>112</v>
      </c>
      <c r="C1629" t="s">
        <v>197</v>
      </c>
      <c r="D1629">
        <v>312244.95</v>
      </c>
      <c r="E1629">
        <v>312184.95</v>
      </c>
      <c r="I1629">
        <v>303119.23</v>
      </c>
      <c r="J1629">
        <v>307119.23</v>
      </c>
    </row>
    <row r="1630" spans="1:12" x14ac:dyDescent="0.2">
      <c r="A1630" t="s">
        <v>43</v>
      </c>
      <c r="B1630" t="s">
        <v>112</v>
      </c>
      <c r="C1630" t="s">
        <v>198</v>
      </c>
      <c r="D1630">
        <v>288685.75</v>
      </c>
      <c r="I1630">
        <v>283100.90999999997</v>
      </c>
    </row>
    <row r="1631" spans="1:12" x14ac:dyDescent="0.2">
      <c r="A1631" t="s">
        <v>43</v>
      </c>
      <c r="B1631" t="s">
        <v>115</v>
      </c>
      <c r="C1631" t="s">
        <v>195</v>
      </c>
      <c r="D1631">
        <v>1002833.66</v>
      </c>
      <c r="E1631">
        <v>1174193.44</v>
      </c>
      <c r="F1631">
        <v>1173538.58</v>
      </c>
      <c r="G1631">
        <v>1171929.58</v>
      </c>
      <c r="I1631">
        <v>556043.9</v>
      </c>
      <c r="J1631">
        <v>907142.77</v>
      </c>
      <c r="K1631">
        <v>994124.73</v>
      </c>
      <c r="L1631">
        <v>1011692.27</v>
      </c>
    </row>
    <row r="1632" spans="1:12" x14ac:dyDescent="0.2">
      <c r="A1632" t="s">
        <v>43</v>
      </c>
      <c r="B1632" t="s">
        <v>115</v>
      </c>
      <c r="C1632" t="s">
        <v>196</v>
      </c>
      <c r="D1632">
        <v>1063778.8600000001</v>
      </c>
      <c r="E1632">
        <v>1187744.3899999999</v>
      </c>
      <c r="F1632">
        <v>1185882.3899999999</v>
      </c>
      <c r="I1632">
        <v>579718.85</v>
      </c>
      <c r="J1632">
        <v>915262.32</v>
      </c>
      <c r="K1632">
        <v>993835.29</v>
      </c>
    </row>
    <row r="1633" spans="1:12" x14ac:dyDescent="0.2">
      <c r="A1633" t="s">
        <v>43</v>
      </c>
      <c r="B1633" t="s">
        <v>115</v>
      </c>
      <c r="C1633" t="s">
        <v>197</v>
      </c>
      <c r="D1633">
        <v>1211672.71</v>
      </c>
      <c r="E1633">
        <v>1313750.98</v>
      </c>
      <c r="I1633">
        <v>679595.15</v>
      </c>
      <c r="J1633">
        <v>1011756.78</v>
      </c>
    </row>
    <row r="1634" spans="1:12" x14ac:dyDescent="0.2">
      <c r="A1634" t="s">
        <v>43</v>
      </c>
      <c r="B1634" t="s">
        <v>115</v>
      </c>
      <c r="C1634" t="s">
        <v>198</v>
      </c>
      <c r="D1634">
        <v>1072965.8700000001</v>
      </c>
      <c r="I1634">
        <v>571521.4</v>
      </c>
    </row>
    <row r="1635" spans="1:12" x14ac:dyDescent="0.2">
      <c r="A1635" t="s">
        <v>43</v>
      </c>
      <c r="B1635" t="s">
        <v>113</v>
      </c>
      <c r="C1635" t="s">
        <v>195</v>
      </c>
      <c r="D1635">
        <v>114134.95</v>
      </c>
      <c r="E1635">
        <v>114175.95</v>
      </c>
      <c r="F1635">
        <v>114175.95</v>
      </c>
      <c r="G1635">
        <v>114175.95</v>
      </c>
      <c r="I1635">
        <v>110559.95</v>
      </c>
      <c r="J1635">
        <v>110912.95</v>
      </c>
      <c r="K1635">
        <v>110912.95</v>
      </c>
      <c r="L1635">
        <v>110912.95</v>
      </c>
    </row>
    <row r="1636" spans="1:12" x14ac:dyDescent="0.2">
      <c r="A1636" t="s">
        <v>43</v>
      </c>
      <c r="B1636" t="s">
        <v>113</v>
      </c>
      <c r="C1636" t="s">
        <v>196</v>
      </c>
      <c r="D1636">
        <v>141343</v>
      </c>
      <c r="E1636">
        <v>141163</v>
      </c>
      <c r="F1636">
        <v>141163</v>
      </c>
      <c r="I1636">
        <v>132508.5</v>
      </c>
      <c r="J1636">
        <v>134966.5</v>
      </c>
      <c r="K1636">
        <v>135597.5</v>
      </c>
    </row>
    <row r="1637" spans="1:12" x14ac:dyDescent="0.2">
      <c r="A1637" t="s">
        <v>43</v>
      </c>
      <c r="B1637" t="s">
        <v>113</v>
      </c>
      <c r="C1637" t="s">
        <v>197</v>
      </c>
      <c r="D1637">
        <v>139507.99</v>
      </c>
      <c r="E1637">
        <v>139603.99</v>
      </c>
      <c r="I1637">
        <v>127452.99</v>
      </c>
      <c r="J1637">
        <v>129461.99</v>
      </c>
    </row>
    <row r="1638" spans="1:12" x14ac:dyDescent="0.2">
      <c r="A1638" t="s">
        <v>43</v>
      </c>
      <c r="B1638" t="s">
        <v>113</v>
      </c>
      <c r="C1638" t="s">
        <v>198</v>
      </c>
      <c r="D1638">
        <v>122891.5</v>
      </c>
      <c r="I1638">
        <v>115004</v>
      </c>
    </row>
    <row r="1639" spans="1:12" x14ac:dyDescent="0.2">
      <c r="A1639" t="s">
        <v>43</v>
      </c>
      <c r="B1639" t="s">
        <v>72</v>
      </c>
      <c r="C1639" t="s">
        <v>195</v>
      </c>
      <c r="D1639">
        <v>138842.29999999999</v>
      </c>
      <c r="E1639">
        <v>139322.29999999999</v>
      </c>
      <c r="F1639">
        <v>138279.79999999999</v>
      </c>
      <c r="G1639">
        <v>139279.79999999999</v>
      </c>
      <c r="I1639">
        <v>118085.8</v>
      </c>
      <c r="J1639">
        <v>120435.8</v>
      </c>
      <c r="K1639">
        <v>120740.8</v>
      </c>
      <c r="L1639">
        <v>121341.3</v>
      </c>
    </row>
    <row r="1640" spans="1:12" x14ac:dyDescent="0.2">
      <c r="A1640" t="s">
        <v>43</v>
      </c>
      <c r="B1640" t="s">
        <v>72</v>
      </c>
      <c r="C1640" t="s">
        <v>196</v>
      </c>
      <c r="D1640">
        <v>157344.75</v>
      </c>
      <c r="E1640">
        <v>154647.25</v>
      </c>
      <c r="F1640">
        <v>154269.75</v>
      </c>
      <c r="I1640">
        <v>132432.25</v>
      </c>
      <c r="J1640">
        <v>135962.25</v>
      </c>
      <c r="K1640">
        <v>136684.75</v>
      </c>
    </row>
    <row r="1641" spans="1:12" x14ac:dyDescent="0.2">
      <c r="A1641" t="s">
        <v>43</v>
      </c>
      <c r="B1641" t="s">
        <v>72</v>
      </c>
      <c r="C1641" t="s">
        <v>197</v>
      </c>
      <c r="D1641">
        <v>159072.5</v>
      </c>
      <c r="E1641">
        <v>158052.5</v>
      </c>
      <c r="I1641">
        <v>141329</v>
      </c>
      <c r="J1641">
        <v>145281.5</v>
      </c>
    </row>
    <row r="1642" spans="1:12" x14ac:dyDescent="0.2">
      <c r="A1642" t="s">
        <v>43</v>
      </c>
      <c r="B1642" t="s">
        <v>72</v>
      </c>
      <c r="C1642" t="s">
        <v>198</v>
      </c>
      <c r="D1642">
        <v>147151.09</v>
      </c>
      <c r="I1642">
        <v>135445.59</v>
      </c>
    </row>
    <row r="1643" spans="1:12" x14ac:dyDescent="0.2">
      <c r="A1643" t="s">
        <v>44</v>
      </c>
      <c r="B1643" t="s">
        <v>109</v>
      </c>
      <c r="C1643" t="s">
        <v>195</v>
      </c>
      <c r="D1643">
        <v>991803.14</v>
      </c>
      <c r="E1643">
        <v>990173.6</v>
      </c>
      <c r="F1643">
        <v>989099.95</v>
      </c>
      <c r="G1643">
        <v>988390.45</v>
      </c>
      <c r="I1643">
        <v>24321.27</v>
      </c>
      <c r="J1643">
        <v>40431.33</v>
      </c>
      <c r="K1643">
        <v>62633.09</v>
      </c>
      <c r="L1643">
        <v>76074.83</v>
      </c>
    </row>
    <row r="1644" spans="1:12" x14ac:dyDescent="0.2">
      <c r="A1644" t="s">
        <v>44</v>
      </c>
      <c r="B1644" t="s">
        <v>109</v>
      </c>
      <c r="C1644" t="s">
        <v>196</v>
      </c>
      <c r="D1644">
        <v>882101.69</v>
      </c>
      <c r="E1644">
        <v>882458.94</v>
      </c>
      <c r="F1644">
        <v>881809.44</v>
      </c>
      <c r="I1644">
        <v>43444.05</v>
      </c>
      <c r="J1644">
        <v>65289.06</v>
      </c>
      <c r="K1644">
        <v>87194.07</v>
      </c>
    </row>
    <row r="1645" spans="1:12" x14ac:dyDescent="0.2">
      <c r="A1645" t="s">
        <v>44</v>
      </c>
      <c r="B1645" t="s">
        <v>109</v>
      </c>
      <c r="C1645" t="s">
        <v>197</v>
      </c>
      <c r="D1645">
        <v>936734.46</v>
      </c>
      <c r="E1645">
        <v>936442.96</v>
      </c>
      <c r="I1645">
        <v>25326.09</v>
      </c>
      <c r="J1645">
        <v>40423.440000000002</v>
      </c>
    </row>
    <row r="1646" spans="1:12" x14ac:dyDescent="0.2">
      <c r="A1646" t="s">
        <v>44</v>
      </c>
      <c r="B1646" t="s">
        <v>109</v>
      </c>
      <c r="C1646" t="s">
        <v>198</v>
      </c>
      <c r="D1646">
        <v>1088592.8</v>
      </c>
      <c r="I1646">
        <v>31062.39</v>
      </c>
    </row>
    <row r="1647" spans="1:12" x14ac:dyDescent="0.2">
      <c r="A1647" t="s">
        <v>44</v>
      </c>
      <c r="B1647" t="s">
        <v>145</v>
      </c>
      <c r="C1647" t="s">
        <v>195</v>
      </c>
      <c r="D1647">
        <v>321752</v>
      </c>
      <c r="E1647">
        <v>321752</v>
      </c>
      <c r="F1647">
        <v>321752</v>
      </c>
      <c r="G1647">
        <v>321852</v>
      </c>
      <c r="I1647">
        <v>2582</v>
      </c>
      <c r="J1647">
        <v>2589</v>
      </c>
      <c r="K1647">
        <v>2589</v>
      </c>
      <c r="L1647">
        <v>2589</v>
      </c>
    </row>
    <row r="1648" spans="1:12" x14ac:dyDescent="0.2">
      <c r="A1648" t="s">
        <v>44</v>
      </c>
      <c r="B1648" t="s">
        <v>145</v>
      </c>
      <c r="C1648" t="s">
        <v>196</v>
      </c>
      <c r="D1648">
        <v>159554</v>
      </c>
      <c r="E1648">
        <v>159561</v>
      </c>
      <c r="F1648">
        <v>159561</v>
      </c>
      <c r="I1648">
        <v>58</v>
      </c>
      <c r="J1648">
        <v>65</v>
      </c>
      <c r="K1648">
        <v>65</v>
      </c>
    </row>
    <row r="1649" spans="1:12" x14ac:dyDescent="0.2">
      <c r="A1649" t="s">
        <v>44</v>
      </c>
      <c r="B1649" t="s">
        <v>145</v>
      </c>
      <c r="C1649" t="s">
        <v>197</v>
      </c>
      <c r="D1649">
        <v>431718</v>
      </c>
      <c r="E1649">
        <v>431768</v>
      </c>
      <c r="I1649">
        <v>138</v>
      </c>
      <c r="J1649">
        <v>145</v>
      </c>
    </row>
    <row r="1650" spans="1:12" x14ac:dyDescent="0.2">
      <c r="A1650" t="s">
        <v>44</v>
      </c>
      <c r="B1650" t="s">
        <v>145</v>
      </c>
      <c r="C1650" t="s">
        <v>198</v>
      </c>
      <c r="D1650">
        <v>427979</v>
      </c>
      <c r="I1650">
        <v>153</v>
      </c>
    </row>
    <row r="1651" spans="1:12" x14ac:dyDescent="0.2">
      <c r="A1651" t="s">
        <v>44</v>
      </c>
      <c r="B1651" t="s">
        <v>110</v>
      </c>
      <c r="C1651" t="s">
        <v>195</v>
      </c>
      <c r="D1651">
        <v>329621.38</v>
      </c>
      <c r="E1651">
        <v>334903.63</v>
      </c>
      <c r="F1651">
        <v>333898.63</v>
      </c>
      <c r="G1651">
        <v>329614.63</v>
      </c>
      <c r="I1651">
        <v>26213.52</v>
      </c>
      <c r="J1651">
        <v>59293.29</v>
      </c>
      <c r="K1651">
        <v>81589.5</v>
      </c>
      <c r="L1651">
        <v>89127.64</v>
      </c>
    </row>
    <row r="1652" spans="1:12" x14ac:dyDescent="0.2">
      <c r="A1652" t="s">
        <v>44</v>
      </c>
      <c r="B1652" t="s">
        <v>110</v>
      </c>
      <c r="C1652" t="s">
        <v>196</v>
      </c>
      <c r="D1652">
        <v>353604.56</v>
      </c>
      <c r="E1652">
        <v>347691.56</v>
      </c>
      <c r="F1652">
        <v>346232.66</v>
      </c>
      <c r="I1652">
        <v>35741.839999999997</v>
      </c>
      <c r="J1652">
        <v>67059.97</v>
      </c>
      <c r="K1652">
        <v>85266.37</v>
      </c>
    </row>
    <row r="1653" spans="1:12" x14ac:dyDescent="0.2">
      <c r="A1653" t="s">
        <v>44</v>
      </c>
      <c r="B1653" t="s">
        <v>110</v>
      </c>
      <c r="C1653" t="s">
        <v>197</v>
      </c>
      <c r="D1653">
        <v>362144.17</v>
      </c>
      <c r="E1653">
        <v>344594.37</v>
      </c>
      <c r="I1653">
        <v>35733.51</v>
      </c>
      <c r="J1653">
        <v>66443.42</v>
      </c>
    </row>
    <row r="1654" spans="1:12" x14ac:dyDescent="0.2">
      <c r="A1654" t="s">
        <v>44</v>
      </c>
      <c r="B1654" t="s">
        <v>110</v>
      </c>
      <c r="C1654" t="s">
        <v>198</v>
      </c>
      <c r="D1654">
        <v>330244.99</v>
      </c>
      <c r="I1654">
        <v>24850.7</v>
      </c>
    </row>
    <row r="1655" spans="1:12" x14ac:dyDescent="0.2">
      <c r="A1655" t="s">
        <v>44</v>
      </c>
      <c r="B1655" t="s">
        <v>116</v>
      </c>
      <c r="C1655" t="s">
        <v>195</v>
      </c>
      <c r="D1655">
        <v>25325</v>
      </c>
      <c r="E1655">
        <v>25325</v>
      </c>
      <c r="F1655">
        <v>25325</v>
      </c>
      <c r="G1655">
        <v>25325</v>
      </c>
      <c r="I1655">
        <v>607</v>
      </c>
      <c r="J1655">
        <v>2055</v>
      </c>
      <c r="K1655">
        <v>3116</v>
      </c>
      <c r="L1655">
        <v>4703</v>
      </c>
    </row>
    <row r="1656" spans="1:12" x14ac:dyDescent="0.2">
      <c r="A1656" t="s">
        <v>44</v>
      </c>
      <c r="B1656" t="s">
        <v>116</v>
      </c>
      <c r="C1656" t="s">
        <v>196</v>
      </c>
      <c r="D1656">
        <v>32119</v>
      </c>
      <c r="E1656">
        <v>32126</v>
      </c>
      <c r="F1656">
        <v>32126</v>
      </c>
      <c r="I1656">
        <v>2258.5</v>
      </c>
      <c r="J1656">
        <v>3029</v>
      </c>
      <c r="K1656">
        <v>4391.5</v>
      </c>
    </row>
    <row r="1657" spans="1:12" x14ac:dyDescent="0.2">
      <c r="A1657" t="s">
        <v>44</v>
      </c>
      <c r="B1657" t="s">
        <v>116</v>
      </c>
      <c r="C1657" t="s">
        <v>197</v>
      </c>
      <c r="D1657">
        <v>25788.5</v>
      </c>
      <c r="E1657">
        <v>25792</v>
      </c>
      <c r="I1657">
        <v>2013</v>
      </c>
      <c r="J1657">
        <v>3605</v>
      </c>
    </row>
    <row r="1658" spans="1:12" x14ac:dyDescent="0.2">
      <c r="A1658" t="s">
        <v>44</v>
      </c>
      <c r="B1658" t="s">
        <v>116</v>
      </c>
      <c r="C1658" t="s">
        <v>198</v>
      </c>
      <c r="D1658">
        <v>38306</v>
      </c>
      <c r="I1658">
        <v>1755</v>
      </c>
    </row>
    <row r="1659" spans="1:12" x14ac:dyDescent="0.2">
      <c r="A1659" t="s">
        <v>44</v>
      </c>
      <c r="B1659" t="s">
        <v>114</v>
      </c>
      <c r="C1659" t="s">
        <v>195</v>
      </c>
      <c r="D1659">
        <v>310974.51</v>
      </c>
      <c r="E1659">
        <v>310773.01</v>
      </c>
      <c r="F1659">
        <v>310419.01</v>
      </c>
      <c r="G1659">
        <v>310419.01</v>
      </c>
      <c r="I1659">
        <v>49179.41</v>
      </c>
      <c r="J1659">
        <v>116164.19</v>
      </c>
      <c r="K1659">
        <v>143526.43</v>
      </c>
      <c r="L1659">
        <v>160074.04999999999</v>
      </c>
    </row>
    <row r="1660" spans="1:12" x14ac:dyDescent="0.2">
      <c r="A1660" t="s">
        <v>44</v>
      </c>
      <c r="B1660" t="s">
        <v>114</v>
      </c>
      <c r="C1660" t="s">
        <v>196</v>
      </c>
      <c r="D1660">
        <v>318514.49</v>
      </c>
      <c r="E1660">
        <v>318353.99</v>
      </c>
      <c r="F1660">
        <v>317438.69</v>
      </c>
      <c r="I1660">
        <v>66656.960000000006</v>
      </c>
      <c r="J1660">
        <v>122015.45</v>
      </c>
      <c r="K1660">
        <v>149447.23000000001</v>
      </c>
    </row>
    <row r="1661" spans="1:12" x14ac:dyDescent="0.2">
      <c r="A1661" t="s">
        <v>44</v>
      </c>
      <c r="B1661" t="s">
        <v>114</v>
      </c>
      <c r="C1661" t="s">
        <v>197</v>
      </c>
      <c r="D1661">
        <v>375642.75</v>
      </c>
      <c r="E1661">
        <v>377331.25</v>
      </c>
      <c r="I1661">
        <v>74681.429999999993</v>
      </c>
      <c r="J1661">
        <v>150305.42000000001</v>
      </c>
    </row>
    <row r="1662" spans="1:12" x14ac:dyDescent="0.2">
      <c r="A1662" t="s">
        <v>44</v>
      </c>
      <c r="B1662" t="s">
        <v>114</v>
      </c>
      <c r="C1662" t="s">
        <v>198</v>
      </c>
      <c r="D1662">
        <v>263668.65000000002</v>
      </c>
      <c r="I1662">
        <v>47983.65</v>
      </c>
    </row>
    <row r="1663" spans="1:12" x14ac:dyDescent="0.2">
      <c r="A1663" t="s">
        <v>44</v>
      </c>
      <c r="B1663" t="s">
        <v>111</v>
      </c>
      <c r="C1663" t="s">
        <v>195</v>
      </c>
      <c r="D1663">
        <v>455538.56</v>
      </c>
      <c r="E1663">
        <v>455525.56</v>
      </c>
      <c r="F1663">
        <v>455525.56</v>
      </c>
      <c r="G1663">
        <v>455525.56</v>
      </c>
      <c r="I1663">
        <v>447858.56</v>
      </c>
      <c r="J1663">
        <v>451810.51</v>
      </c>
      <c r="K1663">
        <v>453040.51</v>
      </c>
      <c r="L1663">
        <v>453260.56</v>
      </c>
    </row>
    <row r="1664" spans="1:12" x14ac:dyDescent="0.2">
      <c r="A1664" t="s">
        <v>44</v>
      </c>
      <c r="B1664" t="s">
        <v>111</v>
      </c>
      <c r="C1664" t="s">
        <v>196</v>
      </c>
      <c r="D1664">
        <v>510021.5</v>
      </c>
      <c r="E1664">
        <v>507649.98</v>
      </c>
      <c r="F1664">
        <v>506827.98</v>
      </c>
      <c r="I1664">
        <v>501609.98</v>
      </c>
      <c r="J1664">
        <v>504732.48</v>
      </c>
      <c r="K1664">
        <v>504732.48</v>
      </c>
    </row>
    <row r="1665" spans="1:12" x14ac:dyDescent="0.2">
      <c r="A1665" t="s">
        <v>44</v>
      </c>
      <c r="B1665" t="s">
        <v>111</v>
      </c>
      <c r="C1665" t="s">
        <v>197</v>
      </c>
      <c r="D1665">
        <v>494671.15</v>
      </c>
      <c r="E1665">
        <v>493368.15</v>
      </c>
      <c r="I1665">
        <v>486277.32</v>
      </c>
      <c r="J1665">
        <v>488837.15</v>
      </c>
    </row>
    <row r="1666" spans="1:12" x14ac:dyDescent="0.2">
      <c r="A1666" t="s">
        <v>44</v>
      </c>
      <c r="B1666" t="s">
        <v>111</v>
      </c>
      <c r="C1666" t="s">
        <v>198</v>
      </c>
      <c r="D1666">
        <v>426125.98</v>
      </c>
      <c r="I1666">
        <v>417839.98</v>
      </c>
    </row>
    <row r="1667" spans="1:12" x14ac:dyDescent="0.2">
      <c r="A1667" t="s">
        <v>44</v>
      </c>
      <c r="B1667" t="s">
        <v>112</v>
      </c>
      <c r="C1667" t="s">
        <v>195</v>
      </c>
      <c r="D1667">
        <v>363647.94</v>
      </c>
      <c r="E1667">
        <v>364077.87</v>
      </c>
      <c r="F1667">
        <v>364077.87</v>
      </c>
      <c r="G1667">
        <v>364002.87</v>
      </c>
      <c r="I1667">
        <v>361578.87</v>
      </c>
      <c r="J1667">
        <v>362989.87</v>
      </c>
      <c r="K1667">
        <v>362989.87</v>
      </c>
      <c r="L1667">
        <v>362904.87</v>
      </c>
    </row>
    <row r="1668" spans="1:12" x14ac:dyDescent="0.2">
      <c r="A1668" t="s">
        <v>44</v>
      </c>
      <c r="B1668" t="s">
        <v>112</v>
      </c>
      <c r="C1668" t="s">
        <v>196</v>
      </c>
      <c r="D1668">
        <v>381849.32</v>
      </c>
      <c r="E1668">
        <v>381838.82</v>
      </c>
      <c r="F1668">
        <v>381838.82</v>
      </c>
      <c r="I1668">
        <v>380413.07</v>
      </c>
      <c r="J1668">
        <v>381718.07</v>
      </c>
      <c r="K1668">
        <v>381718.07</v>
      </c>
    </row>
    <row r="1669" spans="1:12" x14ac:dyDescent="0.2">
      <c r="A1669" t="s">
        <v>44</v>
      </c>
      <c r="B1669" t="s">
        <v>112</v>
      </c>
      <c r="C1669" t="s">
        <v>197</v>
      </c>
      <c r="D1669">
        <v>381300.51</v>
      </c>
      <c r="E1669">
        <v>381040.51</v>
      </c>
      <c r="I1669">
        <v>377402.96</v>
      </c>
      <c r="J1669">
        <v>380887.96</v>
      </c>
    </row>
    <row r="1670" spans="1:12" x14ac:dyDescent="0.2">
      <c r="A1670" t="s">
        <v>44</v>
      </c>
      <c r="B1670" t="s">
        <v>112</v>
      </c>
      <c r="C1670" t="s">
        <v>198</v>
      </c>
      <c r="D1670">
        <v>347410.68</v>
      </c>
      <c r="I1670">
        <v>344549.53</v>
      </c>
    </row>
    <row r="1671" spans="1:12" x14ac:dyDescent="0.2">
      <c r="A1671" t="s">
        <v>44</v>
      </c>
      <c r="B1671" t="s">
        <v>115</v>
      </c>
      <c r="C1671" t="s">
        <v>195</v>
      </c>
      <c r="D1671">
        <v>1025239</v>
      </c>
      <c r="E1671">
        <v>969982.5</v>
      </c>
      <c r="F1671">
        <v>966062.5</v>
      </c>
      <c r="G1671">
        <v>966523.5</v>
      </c>
      <c r="I1671">
        <v>538058.66</v>
      </c>
      <c r="J1671">
        <v>809013.12</v>
      </c>
      <c r="K1671">
        <v>850757.44</v>
      </c>
      <c r="L1671">
        <v>868432.85</v>
      </c>
    </row>
    <row r="1672" spans="1:12" x14ac:dyDescent="0.2">
      <c r="A1672" t="s">
        <v>44</v>
      </c>
      <c r="B1672" t="s">
        <v>115</v>
      </c>
      <c r="C1672" t="s">
        <v>196</v>
      </c>
      <c r="D1672">
        <v>1064130.3500000001</v>
      </c>
      <c r="E1672">
        <v>1038618.85</v>
      </c>
      <c r="F1672">
        <v>1037888.85</v>
      </c>
      <c r="I1672">
        <v>592992.91</v>
      </c>
      <c r="J1672">
        <v>873265.4</v>
      </c>
      <c r="K1672">
        <v>905762.88</v>
      </c>
    </row>
    <row r="1673" spans="1:12" x14ac:dyDescent="0.2">
      <c r="A1673" t="s">
        <v>44</v>
      </c>
      <c r="B1673" t="s">
        <v>115</v>
      </c>
      <c r="C1673" t="s">
        <v>197</v>
      </c>
      <c r="D1673">
        <v>1039816.08</v>
      </c>
      <c r="E1673">
        <v>1021242.76</v>
      </c>
      <c r="I1673">
        <v>561343.13</v>
      </c>
      <c r="J1673">
        <v>830529.71</v>
      </c>
    </row>
    <row r="1674" spans="1:12" x14ac:dyDescent="0.2">
      <c r="A1674" t="s">
        <v>44</v>
      </c>
      <c r="B1674" t="s">
        <v>115</v>
      </c>
      <c r="C1674" t="s">
        <v>198</v>
      </c>
      <c r="D1674">
        <v>143994.46</v>
      </c>
      <c r="I1674">
        <v>142235.79</v>
      </c>
    </row>
    <row r="1675" spans="1:12" x14ac:dyDescent="0.2">
      <c r="A1675" t="s">
        <v>44</v>
      </c>
      <c r="B1675" t="s">
        <v>113</v>
      </c>
      <c r="C1675" t="s">
        <v>195</v>
      </c>
      <c r="D1675">
        <v>141741.04999999999</v>
      </c>
      <c r="E1675">
        <v>141741.04999999999</v>
      </c>
      <c r="F1675">
        <v>141741.04999999999</v>
      </c>
      <c r="G1675">
        <v>141796.04999999999</v>
      </c>
      <c r="I1675">
        <v>140437.04999999999</v>
      </c>
      <c r="J1675">
        <v>140592.04999999999</v>
      </c>
      <c r="K1675">
        <v>140592.04999999999</v>
      </c>
      <c r="L1675">
        <v>140647.04999999999</v>
      </c>
    </row>
    <row r="1676" spans="1:12" x14ac:dyDescent="0.2">
      <c r="A1676" t="s">
        <v>44</v>
      </c>
      <c r="B1676" t="s">
        <v>113</v>
      </c>
      <c r="C1676" t="s">
        <v>196</v>
      </c>
      <c r="D1676">
        <v>160876.29999999999</v>
      </c>
      <c r="E1676">
        <v>161171.29999999999</v>
      </c>
      <c r="F1676">
        <v>161220.29999999999</v>
      </c>
      <c r="I1676">
        <v>157459.79999999999</v>
      </c>
      <c r="J1676">
        <v>157838.79999999999</v>
      </c>
      <c r="K1676">
        <v>157893.79999999999</v>
      </c>
    </row>
    <row r="1677" spans="1:12" x14ac:dyDescent="0.2">
      <c r="A1677" t="s">
        <v>44</v>
      </c>
      <c r="B1677" t="s">
        <v>113</v>
      </c>
      <c r="C1677" t="s">
        <v>197</v>
      </c>
      <c r="D1677">
        <v>148872.46</v>
      </c>
      <c r="E1677">
        <v>148472.46</v>
      </c>
      <c r="I1677">
        <v>145919.46</v>
      </c>
      <c r="J1677">
        <v>146850.46</v>
      </c>
    </row>
    <row r="1678" spans="1:12" x14ac:dyDescent="0.2">
      <c r="A1678" t="s">
        <v>44</v>
      </c>
      <c r="B1678" t="s">
        <v>113</v>
      </c>
      <c r="C1678" t="s">
        <v>198</v>
      </c>
      <c r="D1678">
        <v>143994.46</v>
      </c>
      <c r="I1678">
        <v>142235.79</v>
      </c>
    </row>
    <row r="1679" spans="1:12" x14ac:dyDescent="0.2">
      <c r="A1679" t="s">
        <v>44</v>
      </c>
      <c r="B1679" t="s">
        <v>72</v>
      </c>
      <c r="C1679" t="s">
        <v>195</v>
      </c>
      <c r="D1679">
        <v>168773.75</v>
      </c>
      <c r="E1679">
        <v>168000.75</v>
      </c>
      <c r="F1679">
        <v>167810.75</v>
      </c>
      <c r="G1679">
        <v>165098.75</v>
      </c>
      <c r="I1679">
        <v>148670.20000000001</v>
      </c>
      <c r="J1679">
        <v>154634.20000000001</v>
      </c>
      <c r="K1679">
        <v>154864.20000000001</v>
      </c>
      <c r="L1679">
        <v>154984.20000000001</v>
      </c>
    </row>
    <row r="1680" spans="1:12" x14ac:dyDescent="0.2">
      <c r="A1680" t="s">
        <v>44</v>
      </c>
      <c r="B1680" t="s">
        <v>72</v>
      </c>
      <c r="C1680" t="s">
        <v>196</v>
      </c>
      <c r="D1680">
        <v>171312.5</v>
      </c>
      <c r="E1680">
        <v>170910</v>
      </c>
      <c r="F1680">
        <v>168846</v>
      </c>
      <c r="I1680">
        <v>151777.29999999999</v>
      </c>
      <c r="J1680">
        <v>157522.35999999999</v>
      </c>
      <c r="K1680">
        <v>158257.79999999999</v>
      </c>
    </row>
    <row r="1681" spans="1:12" x14ac:dyDescent="0.2">
      <c r="A1681" t="s">
        <v>44</v>
      </c>
      <c r="B1681" t="s">
        <v>72</v>
      </c>
      <c r="C1681" t="s">
        <v>197</v>
      </c>
      <c r="D1681">
        <v>205642.85</v>
      </c>
      <c r="E1681">
        <v>198351.85</v>
      </c>
      <c r="I1681">
        <v>175794.2</v>
      </c>
      <c r="J1681">
        <v>182617.2</v>
      </c>
    </row>
    <row r="1682" spans="1:12" x14ac:dyDescent="0.2">
      <c r="A1682" t="s">
        <v>44</v>
      </c>
      <c r="B1682" t="s">
        <v>72</v>
      </c>
      <c r="C1682" t="s">
        <v>198</v>
      </c>
      <c r="D1682">
        <v>164260.04999999999</v>
      </c>
      <c r="I1682">
        <v>147039.45000000001</v>
      </c>
    </row>
    <row r="1683" spans="1:12" x14ac:dyDescent="0.2">
      <c r="A1683" t="s">
        <v>45</v>
      </c>
      <c r="B1683" t="s">
        <v>109</v>
      </c>
      <c r="C1683" t="s">
        <v>195</v>
      </c>
      <c r="D1683">
        <v>265973</v>
      </c>
      <c r="E1683">
        <v>263673</v>
      </c>
      <c r="F1683">
        <v>289824.34999999998</v>
      </c>
      <c r="G1683">
        <v>289324.34999999998</v>
      </c>
      <c r="I1683">
        <v>8458.17</v>
      </c>
      <c r="J1683">
        <v>16347.84</v>
      </c>
      <c r="K1683">
        <v>30726.52</v>
      </c>
      <c r="L1683">
        <v>37599.910000000003</v>
      </c>
    </row>
    <row r="1684" spans="1:12" x14ac:dyDescent="0.2">
      <c r="A1684" t="s">
        <v>45</v>
      </c>
      <c r="B1684" t="s">
        <v>109</v>
      </c>
      <c r="C1684" t="s">
        <v>196</v>
      </c>
      <c r="D1684">
        <v>300164.2</v>
      </c>
      <c r="E1684">
        <v>342832.08</v>
      </c>
      <c r="F1684">
        <v>341428.08</v>
      </c>
      <c r="I1684">
        <v>12836.19</v>
      </c>
      <c r="J1684">
        <v>31878.87</v>
      </c>
      <c r="K1684">
        <v>41444.410000000003</v>
      </c>
    </row>
    <row r="1685" spans="1:12" x14ac:dyDescent="0.2">
      <c r="A1685" t="s">
        <v>45</v>
      </c>
      <c r="B1685" t="s">
        <v>109</v>
      </c>
      <c r="C1685" t="s">
        <v>197</v>
      </c>
      <c r="D1685">
        <v>324362.5</v>
      </c>
      <c r="E1685">
        <v>320912.5</v>
      </c>
      <c r="I1685">
        <v>4756.6099999999997</v>
      </c>
      <c r="J1685">
        <v>12840.97</v>
      </c>
    </row>
    <row r="1686" spans="1:12" x14ac:dyDescent="0.2">
      <c r="A1686" t="s">
        <v>45</v>
      </c>
      <c r="B1686" t="s">
        <v>109</v>
      </c>
      <c r="C1686" t="s">
        <v>198</v>
      </c>
      <c r="D1686">
        <v>299894.94</v>
      </c>
      <c r="I1686">
        <v>4435.04</v>
      </c>
    </row>
    <row r="1687" spans="1:12" x14ac:dyDescent="0.2">
      <c r="A1687" t="s">
        <v>45</v>
      </c>
      <c r="B1687" t="s">
        <v>145</v>
      </c>
      <c r="C1687" t="s">
        <v>195</v>
      </c>
      <c r="D1687">
        <v>52915</v>
      </c>
      <c r="E1687">
        <v>52915</v>
      </c>
      <c r="F1687">
        <v>53015</v>
      </c>
      <c r="G1687">
        <v>53015</v>
      </c>
      <c r="I1687">
        <v>0</v>
      </c>
      <c r="J1687">
        <v>0</v>
      </c>
      <c r="K1687">
        <v>0</v>
      </c>
      <c r="L1687">
        <v>0</v>
      </c>
    </row>
    <row r="1688" spans="1:12" x14ac:dyDescent="0.2">
      <c r="A1688" t="s">
        <v>45</v>
      </c>
      <c r="B1688" t="s">
        <v>145</v>
      </c>
      <c r="C1688" t="s">
        <v>196</v>
      </c>
      <c r="D1688">
        <v>150</v>
      </c>
      <c r="E1688">
        <v>250</v>
      </c>
      <c r="F1688">
        <v>250</v>
      </c>
      <c r="I1688">
        <v>0</v>
      </c>
      <c r="J1688">
        <v>0</v>
      </c>
      <c r="K1688">
        <v>0</v>
      </c>
    </row>
    <row r="1689" spans="1:12" x14ac:dyDescent="0.2">
      <c r="A1689" t="s">
        <v>45</v>
      </c>
      <c r="B1689" t="s">
        <v>145</v>
      </c>
      <c r="C1689" t="s">
        <v>197</v>
      </c>
      <c r="D1689">
        <v>106710</v>
      </c>
      <c r="E1689">
        <v>106710</v>
      </c>
      <c r="I1689">
        <v>0</v>
      </c>
      <c r="J1689">
        <v>0</v>
      </c>
    </row>
    <row r="1690" spans="1:12" x14ac:dyDescent="0.2">
      <c r="A1690" t="s">
        <v>45</v>
      </c>
      <c r="B1690" t="s">
        <v>145</v>
      </c>
      <c r="C1690" t="s">
        <v>198</v>
      </c>
      <c r="D1690">
        <v>106030</v>
      </c>
      <c r="I1690">
        <v>0</v>
      </c>
    </row>
    <row r="1691" spans="1:12" x14ac:dyDescent="0.2">
      <c r="A1691" t="s">
        <v>45</v>
      </c>
      <c r="B1691" t="s">
        <v>110</v>
      </c>
      <c r="C1691" t="s">
        <v>195</v>
      </c>
      <c r="D1691">
        <v>207656.75</v>
      </c>
      <c r="E1691">
        <v>204032.75</v>
      </c>
      <c r="F1691">
        <v>227090.25</v>
      </c>
      <c r="G1691">
        <v>226485.25</v>
      </c>
      <c r="I1691">
        <v>65730.67</v>
      </c>
      <c r="J1691">
        <v>94573.01</v>
      </c>
      <c r="K1691">
        <v>120614.15</v>
      </c>
      <c r="L1691">
        <v>127717.65</v>
      </c>
    </row>
    <row r="1692" spans="1:12" x14ac:dyDescent="0.2">
      <c r="A1692" t="s">
        <v>45</v>
      </c>
      <c r="B1692" t="s">
        <v>110</v>
      </c>
      <c r="C1692" t="s">
        <v>196</v>
      </c>
      <c r="D1692">
        <v>233524.5</v>
      </c>
      <c r="E1692">
        <v>259546.36</v>
      </c>
      <c r="F1692">
        <v>258926.36</v>
      </c>
      <c r="I1692">
        <v>83276.97</v>
      </c>
      <c r="J1692">
        <v>126234.11</v>
      </c>
      <c r="K1692">
        <v>141037.10999999999</v>
      </c>
    </row>
    <row r="1693" spans="1:12" x14ac:dyDescent="0.2">
      <c r="A1693" t="s">
        <v>45</v>
      </c>
      <c r="B1693" t="s">
        <v>110</v>
      </c>
      <c r="C1693" t="s">
        <v>197</v>
      </c>
      <c r="D1693">
        <v>240660</v>
      </c>
      <c r="E1693">
        <v>238408</v>
      </c>
      <c r="I1693">
        <v>81131</v>
      </c>
      <c r="J1693">
        <v>110895.5</v>
      </c>
    </row>
    <row r="1694" spans="1:12" x14ac:dyDescent="0.2">
      <c r="A1694" t="s">
        <v>45</v>
      </c>
      <c r="B1694" t="s">
        <v>110</v>
      </c>
      <c r="C1694" t="s">
        <v>198</v>
      </c>
      <c r="D1694">
        <v>242628.25</v>
      </c>
      <c r="I1694">
        <v>73096.5</v>
      </c>
    </row>
    <row r="1695" spans="1:12" x14ac:dyDescent="0.2">
      <c r="A1695" t="s">
        <v>45</v>
      </c>
      <c r="B1695" t="s">
        <v>116</v>
      </c>
      <c r="C1695" t="s">
        <v>195</v>
      </c>
      <c r="D1695">
        <v>10750</v>
      </c>
      <c r="E1695">
        <v>10700</v>
      </c>
      <c r="F1695">
        <v>13750</v>
      </c>
      <c r="G1695">
        <v>13750</v>
      </c>
      <c r="I1695">
        <v>570</v>
      </c>
      <c r="J1695">
        <v>975</v>
      </c>
      <c r="K1695">
        <v>1870</v>
      </c>
      <c r="L1695">
        <v>2450</v>
      </c>
    </row>
    <row r="1696" spans="1:12" x14ac:dyDescent="0.2">
      <c r="A1696" t="s">
        <v>45</v>
      </c>
      <c r="B1696" t="s">
        <v>116</v>
      </c>
      <c r="C1696" t="s">
        <v>196</v>
      </c>
      <c r="D1696">
        <v>8785</v>
      </c>
      <c r="E1696">
        <v>13270</v>
      </c>
      <c r="F1696">
        <v>13270</v>
      </c>
      <c r="I1696">
        <v>550</v>
      </c>
      <c r="J1696">
        <v>2310</v>
      </c>
      <c r="K1696">
        <v>3080</v>
      </c>
    </row>
    <row r="1697" spans="1:12" x14ac:dyDescent="0.2">
      <c r="A1697" t="s">
        <v>45</v>
      </c>
      <c r="B1697" t="s">
        <v>116</v>
      </c>
      <c r="C1697" t="s">
        <v>197</v>
      </c>
      <c r="D1697">
        <v>16126</v>
      </c>
      <c r="E1697">
        <v>16126</v>
      </c>
      <c r="I1697">
        <v>736</v>
      </c>
      <c r="J1697">
        <v>1636</v>
      </c>
    </row>
    <row r="1698" spans="1:12" x14ac:dyDescent="0.2">
      <c r="A1698" t="s">
        <v>45</v>
      </c>
      <c r="B1698" t="s">
        <v>116</v>
      </c>
      <c r="C1698" t="s">
        <v>198</v>
      </c>
      <c r="D1698">
        <v>12710</v>
      </c>
      <c r="I1698">
        <v>100</v>
      </c>
    </row>
    <row r="1699" spans="1:12" x14ac:dyDescent="0.2">
      <c r="A1699" t="s">
        <v>45</v>
      </c>
      <c r="B1699" t="s">
        <v>114</v>
      </c>
      <c r="C1699" t="s">
        <v>195</v>
      </c>
      <c r="D1699">
        <v>300815.5</v>
      </c>
      <c r="E1699">
        <v>296550.5</v>
      </c>
      <c r="F1699">
        <v>315453.5</v>
      </c>
      <c r="G1699">
        <v>308530</v>
      </c>
      <c r="I1699">
        <v>94667.98</v>
      </c>
      <c r="J1699">
        <v>147617.89000000001</v>
      </c>
      <c r="K1699">
        <v>192557.33</v>
      </c>
      <c r="L1699">
        <v>213571.83</v>
      </c>
    </row>
    <row r="1700" spans="1:12" x14ac:dyDescent="0.2">
      <c r="A1700" t="s">
        <v>45</v>
      </c>
      <c r="B1700" t="s">
        <v>114</v>
      </c>
      <c r="C1700" t="s">
        <v>196</v>
      </c>
      <c r="D1700">
        <v>393765.5</v>
      </c>
      <c r="E1700">
        <v>419135</v>
      </c>
      <c r="F1700">
        <v>412580</v>
      </c>
      <c r="I1700">
        <v>137901.38</v>
      </c>
      <c r="J1700">
        <v>210160.73</v>
      </c>
      <c r="K1700">
        <v>255543.35</v>
      </c>
    </row>
    <row r="1701" spans="1:12" x14ac:dyDescent="0.2">
      <c r="A1701" t="s">
        <v>45</v>
      </c>
      <c r="B1701" t="s">
        <v>114</v>
      </c>
      <c r="C1701" t="s">
        <v>197</v>
      </c>
      <c r="D1701">
        <v>295605.5</v>
      </c>
      <c r="E1701">
        <v>295555.5</v>
      </c>
      <c r="I1701">
        <v>115856.9</v>
      </c>
      <c r="J1701">
        <v>145012.9</v>
      </c>
    </row>
    <row r="1702" spans="1:12" x14ac:dyDescent="0.2">
      <c r="A1702" t="s">
        <v>45</v>
      </c>
      <c r="B1702" t="s">
        <v>114</v>
      </c>
      <c r="C1702" t="s">
        <v>198</v>
      </c>
      <c r="D1702">
        <v>264835.75</v>
      </c>
      <c r="I1702">
        <v>94978.5</v>
      </c>
    </row>
    <row r="1703" spans="1:12" x14ac:dyDescent="0.2">
      <c r="A1703" t="s">
        <v>45</v>
      </c>
      <c r="B1703" t="s">
        <v>111</v>
      </c>
      <c r="C1703" t="s">
        <v>195</v>
      </c>
      <c r="D1703">
        <v>199474.32</v>
      </c>
      <c r="E1703">
        <v>199474.32</v>
      </c>
      <c r="F1703">
        <v>199389.32</v>
      </c>
      <c r="G1703">
        <v>199389.32</v>
      </c>
      <c r="I1703">
        <v>196704.32</v>
      </c>
      <c r="J1703">
        <v>198414.32</v>
      </c>
      <c r="K1703">
        <v>198539.32</v>
      </c>
      <c r="L1703">
        <v>198539.32</v>
      </c>
    </row>
    <row r="1704" spans="1:12" x14ac:dyDescent="0.2">
      <c r="A1704" t="s">
        <v>45</v>
      </c>
      <c r="B1704" t="s">
        <v>111</v>
      </c>
      <c r="C1704" t="s">
        <v>196</v>
      </c>
      <c r="D1704">
        <v>248426.11</v>
      </c>
      <c r="E1704">
        <v>246626.11</v>
      </c>
      <c r="F1704">
        <v>246626.11</v>
      </c>
      <c r="I1704">
        <v>240926.61</v>
      </c>
      <c r="J1704">
        <v>242524.11</v>
      </c>
      <c r="K1704">
        <v>242966.11</v>
      </c>
    </row>
    <row r="1705" spans="1:12" x14ac:dyDescent="0.2">
      <c r="A1705" t="s">
        <v>45</v>
      </c>
      <c r="B1705" t="s">
        <v>111</v>
      </c>
      <c r="C1705" t="s">
        <v>197</v>
      </c>
      <c r="D1705">
        <v>224126.71</v>
      </c>
      <c r="E1705">
        <v>222918.21</v>
      </c>
      <c r="I1705">
        <v>220234.71</v>
      </c>
      <c r="J1705">
        <v>221673.21</v>
      </c>
    </row>
    <row r="1706" spans="1:12" x14ac:dyDescent="0.2">
      <c r="A1706" t="s">
        <v>45</v>
      </c>
      <c r="B1706" t="s">
        <v>111</v>
      </c>
      <c r="C1706" t="s">
        <v>198</v>
      </c>
      <c r="D1706">
        <v>165713.79999999999</v>
      </c>
      <c r="I1706">
        <v>162463.79999999999</v>
      </c>
    </row>
    <row r="1707" spans="1:12" x14ac:dyDescent="0.2">
      <c r="A1707" t="s">
        <v>45</v>
      </c>
      <c r="B1707" t="s">
        <v>112</v>
      </c>
      <c r="C1707" t="s">
        <v>195</v>
      </c>
      <c r="D1707">
        <v>96489.58</v>
      </c>
      <c r="E1707">
        <v>96493.08</v>
      </c>
      <c r="F1707">
        <v>96493.08</v>
      </c>
      <c r="G1707">
        <v>96493.08</v>
      </c>
      <c r="I1707">
        <v>95133.97</v>
      </c>
      <c r="J1707">
        <v>95553.08</v>
      </c>
      <c r="K1707">
        <v>95653.08</v>
      </c>
      <c r="L1707">
        <v>95753.08</v>
      </c>
    </row>
    <row r="1708" spans="1:12" x14ac:dyDescent="0.2">
      <c r="A1708" t="s">
        <v>45</v>
      </c>
      <c r="B1708" t="s">
        <v>112</v>
      </c>
      <c r="C1708" t="s">
        <v>196</v>
      </c>
      <c r="D1708">
        <v>103679.87</v>
      </c>
      <c r="E1708">
        <v>103199.87</v>
      </c>
      <c r="F1708">
        <v>103199.87</v>
      </c>
      <c r="I1708">
        <v>102456.37</v>
      </c>
      <c r="J1708">
        <v>103149.87</v>
      </c>
      <c r="K1708">
        <v>103149.87</v>
      </c>
    </row>
    <row r="1709" spans="1:12" x14ac:dyDescent="0.2">
      <c r="A1709" t="s">
        <v>45</v>
      </c>
      <c r="B1709" t="s">
        <v>112</v>
      </c>
      <c r="C1709" t="s">
        <v>197</v>
      </c>
      <c r="D1709">
        <v>122595.07</v>
      </c>
      <c r="E1709">
        <v>122562.31</v>
      </c>
      <c r="I1709">
        <v>122171.57</v>
      </c>
      <c r="J1709">
        <v>122462.31</v>
      </c>
    </row>
    <row r="1710" spans="1:12" x14ac:dyDescent="0.2">
      <c r="A1710" t="s">
        <v>45</v>
      </c>
      <c r="B1710" t="s">
        <v>112</v>
      </c>
      <c r="C1710" t="s">
        <v>198</v>
      </c>
      <c r="D1710">
        <v>113610.14</v>
      </c>
      <c r="I1710">
        <v>112082.04</v>
      </c>
    </row>
    <row r="1711" spans="1:12" x14ac:dyDescent="0.2">
      <c r="A1711" t="s">
        <v>45</v>
      </c>
      <c r="B1711" t="s">
        <v>115</v>
      </c>
      <c r="C1711" t="s">
        <v>195</v>
      </c>
      <c r="D1711">
        <v>700713</v>
      </c>
      <c r="E1711">
        <v>668211.55000000005</v>
      </c>
      <c r="F1711">
        <v>669107.55000000005</v>
      </c>
      <c r="G1711">
        <v>668705.55000000005</v>
      </c>
      <c r="I1711">
        <v>310317.75</v>
      </c>
      <c r="J1711">
        <v>576577.37</v>
      </c>
      <c r="K1711">
        <v>614129.43999999994</v>
      </c>
      <c r="L1711">
        <v>621931.80000000005</v>
      </c>
    </row>
    <row r="1712" spans="1:12" x14ac:dyDescent="0.2">
      <c r="A1712" t="s">
        <v>45</v>
      </c>
      <c r="B1712" t="s">
        <v>115</v>
      </c>
      <c r="C1712" t="s">
        <v>196</v>
      </c>
      <c r="D1712">
        <v>879893.39</v>
      </c>
      <c r="E1712">
        <v>845387.44</v>
      </c>
      <c r="F1712">
        <v>845540.44</v>
      </c>
      <c r="I1712">
        <v>433429.49</v>
      </c>
      <c r="J1712">
        <v>738130.69</v>
      </c>
      <c r="K1712">
        <v>782356.19</v>
      </c>
    </row>
    <row r="1713" spans="1:12" x14ac:dyDescent="0.2">
      <c r="A1713" t="s">
        <v>45</v>
      </c>
      <c r="B1713" t="s">
        <v>115</v>
      </c>
      <c r="C1713" t="s">
        <v>197</v>
      </c>
      <c r="D1713">
        <v>690160.75</v>
      </c>
      <c r="E1713">
        <v>660854.5</v>
      </c>
      <c r="I1713">
        <v>328180.25</v>
      </c>
      <c r="J1713">
        <v>560725.25</v>
      </c>
    </row>
    <row r="1714" spans="1:12" x14ac:dyDescent="0.2">
      <c r="A1714" t="s">
        <v>45</v>
      </c>
      <c r="B1714" t="s">
        <v>115</v>
      </c>
      <c r="C1714" t="s">
        <v>198</v>
      </c>
      <c r="D1714">
        <v>572880.9</v>
      </c>
      <c r="I1714">
        <v>273102.65000000002</v>
      </c>
    </row>
    <row r="1715" spans="1:12" x14ac:dyDescent="0.2">
      <c r="A1715" t="s">
        <v>45</v>
      </c>
      <c r="B1715" t="s">
        <v>113</v>
      </c>
      <c r="C1715" t="s">
        <v>195</v>
      </c>
      <c r="D1715">
        <v>77294.5</v>
      </c>
      <c r="E1715">
        <v>76263.5</v>
      </c>
      <c r="F1715">
        <v>76263.5</v>
      </c>
      <c r="G1715">
        <v>76263.5</v>
      </c>
      <c r="I1715">
        <v>75462.5</v>
      </c>
      <c r="J1715">
        <v>76263.5</v>
      </c>
      <c r="K1715">
        <v>76263.5</v>
      </c>
      <c r="L1715">
        <v>76263.5</v>
      </c>
    </row>
    <row r="1716" spans="1:12" x14ac:dyDescent="0.2">
      <c r="A1716" t="s">
        <v>45</v>
      </c>
      <c r="B1716" t="s">
        <v>113</v>
      </c>
      <c r="C1716" t="s">
        <v>196</v>
      </c>
      <c r="D1716">
        <v>86647.5</v>
      </c>
      <c r="E1716">
        <v>86562.5</v>
      </c>
      <c r="F1716">
        <v>86582.5</v>
      </c>
      <c r="I1716">
        <v>86553.5</v>
      </c>
      <c r="J1716">
        <v>86468.5</v>
      </c>
      <c r="K1716">
        <v>86490.5</v>
      </c>
    </row>
    <row r="1717" spans="1:12" x14ac:dyDescent="0.2">
      <c r="A1717" t="s">
        <v>45</v>
      </c>
      <c r="B1717" t="s">
        <v>113</v>
      </c>
      <c r="C1717" t="s">
        <v>197</v>
      </c>
      <c r="D1717">
        <v>85735.45</v>
      </c>
      <c r="E1717">
        <v>85735.45</v>
      </c>
      <c r="I1717">
        <v>85318.45</v>
      </c>
      <c r="J1717">
        <v>85721.45</v>
      </c>
    </row>
    <row r="1718" spans="1:12" x14ac:dyDescent="0.2">
      <c r="A1718" t="s">
        <v>45</v>
      </c>
      <c r="B1718" t="s">
        <v>113</v>
      </c>
      <c r="C1718" t="s">
        <v>198</v>
      </c>
      <c r="D1718">
        <v>76511.100000000006</v>
      </c>
      <c r="I1718">
        <v>76166.100000000006</v>
      </c>
    </row>
    <row r="1719" spans="1:12" x14ac:dyDescent="0.2">
      <c r="A1719" t="s">
        <v>45</v>
      </c>
      <c r="B1719" t="s">
        <v>72</v>
      </c>
      <c r="C1719" t="s">
        <v>195</v>
      </c>
      <c r="D1719">
        <v>75048.800000000003</v>
      </c>
      <c r="E1719">
        <v>75031.8</v>
      </c>
      <c r="F1719">
        <v>75098.8</v>
      </c>
      <c r="G1719">
        <v>75098.8</v>
      </c>
      <c r="I1719">
        <v>70460.350000000006</v>
      </c>
      <c r="J1719">
        <v>72516.350000000006</v>
      </c>
      <c r="K1719">
        <v>72583.350000000006</v>
      </c>
      <c r="L1719">
        <v>72878.350000000006</v>
      </c>
    </row>
    <row r="1720" spans="1:12" x14ac:dyDescent="0.2">
      <c r="A1720" t="s">
        <v>45</v>
      </c>
      <c r="B1720" t="s">
        <v>72</v>
      </c>
      <c r="C1720" t="s">
        <v>196</v>
      </c>
      <c r="D1720">
        <v>100445.4</v>
      </c>
      <c r="E1720">
        <v>100445.4</v>
      </c>
      <c r="F1720">
        <v>100445.4</v>
      </c>
      <c r="I1720">
        <v>96793.2</v>
      </c>
      <c r="J1720">
        <v>98897.2</v>
      </c>
      <c r="K1720">
        <v>98947.199999999997</v>
      </c>
    </row>
    <row r="1721" spans="1:12" x14ac:dyDescent="0.2">
      <c r="A1721" t="s">
        <v>45</v>
      </c>
      <c r="B1721" t="s">
        <v>72</v>
      </c>
      <c r="C1721" t="s">
        <v>197</v>
      </c>
      <c r="D1721">
        <v>96642.2</v>
      </c>
      <c r="E1721">
        <v>96234.2</v>
      </c>
      <c r="I1721">
        <v>93796.51</v>
      </c>
      <c r="J1721">
        <v>95222.19</v>
      </c>
    </row>
    <row r="1722" spans="1:12" x14ac:dyDescent="0.2">
      <c r="A1722" t="s">
        <v>45</v>
      </c>
      <c r="B1722" t="s">
        <v>72</v>
      </c>
      <c r="C1722" t="s">
        <v>198</v>
      </c>
      <c r="D1722">
        <v>89044.9</v>
      </c>
      <c r="I1722">
        <v>86278.45</v>
      </c>
    </row>
    <row r="1723" spans="1:12" x14ac:dyDescent="0.2">
      <c r="A1723" t="s">
        <v>46</v>
      </c>
      <c r="B1723" t="s">
        <v>109</v>
      </c>
      <c r="C1723" t="s">
        <v>195</v>
      </c>
      <c r="D1723">
        <v>176750</v>
      </c>
      <c r="E1723">
        <v>176400</v>
      </c>
      <c r="F1723">
        <v>175867</v>
      </c>
      <c r="G1723">
        <v>175344</v>
      </c>
      <c r="I1723">
        <v>22921.02</v>
      </c>
      <c r="J1723">
        <v>33732</v>
      </c>
      <c r="K1723">
        <v>42311</v>
      </c>
      <c r="L1723">
        <v>46779</v>
      </c>
    </row>
    <row r="1724" spans="1:12" x14ac:dyDescent="0.2">
      <c r="A1724" t="s">
        <v>46</v>
      </c>
      <c r="B1724" t="s">
        <v>109</v>
      </c>
      <c r="C1724" t="s">
        <v>196</v>
      </c>
      <c r="D1724">
        <v>325828</v>
      </c>
      <c r="E1724">
        <v>325678</v>
      </c>
      <c r="F1724">
        <v>325628</v>
      </c>
      <c r="I1724">
        <v>18501</v>
      </c>
      <c r="J1724">
        <v>31554</v>
      </c>
      <c r="K1724">
        <v>38122</v>
      </c>
    </row>
    <row r="1725" spans="1:12" x14ac:dyDescent="0.2">
      <c r="A1725" t="s">
        <v>46</v>
      </c>
      <c r="B1725" t="s">
        <v>109</v>
      </c>
      <c r="C1725" t="s">
        <v>197</v>
      </c>
      <c r="D1725">
        <v>186856</v>
      </c>
      <c r="E1725">
        <v>186856</v>
      </c>
      <c r="I1725">
        <v>24606</v>
      </c>
      <c r="J1725">
        <v>34014</v>
      </c>
    </row>
    <row r="1726" spans="1:12" x14ac:dyDescent="0.2">
      <c r="A1726" t="s">
        <v>46</v>
      </c>
      <c r="B1726" t="s">
        <v>109</v>
      </c>
      <c r="C1726" t="s">
        <v>198</v>
      </c>
      <c r="D1726">
        <v>110324</v>
      </c>
      <c r="I1726">
        <v>13361</v>
      </c>
    </row>
    <row r="1727" spans="1:12" x14ac:dyDescent="0.2">
      <c r="A1727" t="s">
        <v>46</v>
      </c>
      <c r="B1727" t="s">
        <v>145</v>
      </c>
      <c r="C1727" t="s">
        <v>195</v>
      </c>
      <c r="D1727">
        <v>42445.81</v>
      </c>
      <c r="E1727">
        <v>42445.81</v>
      </c>
      <c r="F1727">
        <v>41945.81</v>
      </c>
      <c r="G1727">
        <v>41945.81</v>
      </c>
      <c r="I1727">
        <v>5113.0600000000004</v>
      </c>
      <c r="J1727">
        <v>8757.06</v>
      </c>
      <c r="K1727">
        <v>11045.69</v>
      </c>
      <c r="L1727">
        <v>12348.79</v>
      </c>
    </row>
    <row r="1728" spans="1:12" x14ac:dyDescent="0.2">
      <c r="A1728" t="s">
        <v>46</v>
      </c>
      <c r="B1728" t="s">
        <v>145</v>
      </c>
      <c r="C1728" t="s">
        <v>196</v>
      </c>
      <c r="D1728">
        <v>57241.95</v>
      </c>
      <c r="E1728">
        <v>58004.95</v>
      </c>
      <c r="F1728">
        <v>58004.95</v>
      </c>
      <c r="I1728">
        <v>5636</v>
      </c>
      <c r="J1728">
        <v>8612.18</v>
      </c>
      <c r="K1728">
        <v>10352.17</v>
      </c>
    </row>
    <row r="1729" spans="1:12" x14ac:dyDescent="0.2">
      <c r="A1729" t="s">
        <v>46</v>
      </c>
      <c r="B1729" t="s">
        <v>145</v>
      </c>
      <c r="C1729" t="s">
        <v>197</v>
      </c>
      <c r="D1729">
        <v>65996.100000000006</v>
      </c>
      <c r="E1729">
        <v>65996.100000000006</v>
      </c>
      <c r="I1729">
        <v>10925.69</v>
      </c>
      <c r="J1729">
        <v>13947.61</v>
      </c>
    </row>
    <row r="1730" spans="1:12" x14ac:dyDescent="0.2">
      <c r="A1730" t="s">
        <v>46</v>
      </c>
      <c r="B1730" t="s">
        <v>145</v>
      </c>
      <c r="C1730" t="s">
        <v>198</v>
      </c>
      <c r="D1730" t="s">
        <v>3</v>
      </c>
      <c r="I1730">
        <v>7614.29</v>
      </c>
    </row>
    <row r="1731" spans="1:12" x14ac:dyDescent="0.2">
      <c r="A1731" t="s">
        <v>46</v>
      </c>
      <c r="B1731" t="s">
        <v>110</v>
      </c>
      <c r="C1731" t="s">
        <v>195</v>
      </c>
      <c r="D1731">
        <v>327743</v>
      </c>
      <c r="E1731">
        <v>326993</v>
      </c>
      <c r="F1731">
        <v>325125</v>
      </c>
      <c r="G1731">
        <v>325015</v>
      </c>
      <c r="I1731">
        <v>95923</v>
      </c>
      <c r="J1731">
        <v>144910</v>
      </c>
      <c r="K1731">
        <v>165702</v>
      </c>
      <c r="L1731">
        <v>171926</v>
      </c>
    </row>
    <row r="1732" spans="1:12" x14ac:dyDescent="0.2">
      <c r="A1732" t="s">
        <v>46</v>
      </c>
      <c r="B1732" t="s">
        <v>110</v>
      </c>
      <c r="C1732" t="s">
        <v>196</v>
      </c>
      <c r="D1732">
        <v>301587</v>
      </c>
      <c r="E1732">
        <v>298887</v>
      </c>
      <c r="F1732">
        <v>297618</v>
      </c>
      <c r="I1732">
        <v>91395</v>
      </c>
      <c r="J1732">
        <v>137752</v>
      </c>
      <c r="K1732">
        <v>148777</v>
      </c>
    </row>
    <row r="1733" spans="1:12" x14ac:dyDescent="0.2">
      <c r="A1733" t="s">
        <v>46</v>
      </c>
      <c r="B1733" t="s">
        <v>110</v>
      </c>
      <c r="C1733" t="s">
        <v>197</v>
      </c>
      <c r="D1733">
        <v>334076</v>
      </c>
      <c r="E1733">
        <v>333428</v>
      </c>
      <c r="I1733">
        <v>91397</v>
      </c>
      <c r="J1733">
        <v>129888</v>
      </c>
    </row>
    <row r="1734" spans="1:12" x14ac:dyDescent="0.2">
      <c r="A1734" t="s">
        <v>46</v>
      </c>
      <c r="B1734" t="s">
        <v>110</v>
      </c>
      <c r="C1734" t="s">
        <v>198</v>
      </c>
      <c r="D1734">
        <v>230537</v>
      </c>
      <c r="I1734">
        <v>49750</v>
      </c>
    </row>
    <row r="1735" spans="1:12" x14ac:dyDescent="0.2">
      <c r="A1735" t="s">
        <v>46</v>
      </c>
      <c r="B1735" t="s">
        <v>116</v>
      </c>
      <c r="C1735" t="s">
        <v>195</v>
      </c>
      <c r="D1735">
        <v>258</v>
      </c>
      <c r="I1735">
        <v>58</v>
      </c>
    </row>
    <row r="1736" spans="1:12" x14ac:dyDescent="0.2">
      <c r="A1736" t="s">
        <v>46</v>
      </c>
      <c r="B1736" t="s">
        <v>116</v>
      </c>
      <c r="C1736" t="s">
        <v>196</v>
      </c>
    </row>
    <row r="1737" spans="1:12" x14ac:dyDescent="0.2">
      <c r="A1737" t="s">
        <v>46</v>
      </c>
      <c r="B1737" t="s">
        <v>116</v>
      </c>
      <c r="C1737" t="s">
        <v>197</v>
      </c>
    </row>
    <row r="1738" spans="1:12" x14ac:dyDescent="0.2">
      <c r="A1738" t="s">
        <v>46</v>
      </c>
      <c r="B1738" t="s">
        <v>116</v>
      </c>
      <c r="C1738" t="s">
        <v>198</v>
      </c>
    </row>
    <row r="1739" spans="1:12" x14ac:dyDescent="0.2">
      <c r="A1739" t="s">
        <v>46</v>
      </c>
      <c r="B1739" t="s">
        <v>114</v>
      </c>
      <c r="C1739" t="s">
        <v>195</v>
      </c>
      <c r="D1739">
        <v>65901</v>
      </c>
      <c r="E1739">
        <v>65333</v>
      </c>
      <c r="F1739">
        <v>64890</v>
      </c>
      <c r="G1739">
        <v>64380</v>
      </c>
      <c r="I1739">
        <v>24301</v>
      </c>
      <c r="J1739">
        <v>37764</v>
      </c>
      <c r="K1739">
        <v>42965</v>
      </c>
      <c r="L1739">
        <v>44917</v>
      </c>
    </row>
    <row r="1740" spans="1:12" x14ac:dyDescent="0.2">
      <c r="A1740" t="s">
        <v>46</v>
      </c>
      <c r="B1740" t="s">
        <v>114</v>
      </c>
      <c r="C1740" t="s">
        <v>196</v>
      </c>
      <c r="D1740">
        <v>80058</v>
      </c>
      <c r="E1740">
        <v>79983</v>
      </c>
      <c r="F1740">
        <v>79983</v>
      </c>
      <c r="I1740">
        <v>33168</v>
      </c>
      <c r="J1740">
        <v>47542</v>
      </c>
      <c r="K1740">
        <v>53418</v>
      </c>
    </row>
    <row r="1741" spans="1:12" x14ac:dyDescent="0.2">
      <c r="A1741" t="s">
        <v>46</v>
      </c>
      <c r="B1741" t="s">
        <v>114</v>
      </c>
      <c r="C1741" t="s">
        <v>197</v>
      </c>
      <c r="D1741">
        <v>80621</v>
      </c>
      <c r="E1741">
        <v>80531</v>
      </c>
      <c r="I1741">
        <v>28446</v>
      </c>
      <c r="J1741">
        <v>40177</v>
      </c>
    </row>
    <row r="1742" spans="1:12" x14ac:dyDescent="0.2">
      <c r="A1742" t="s">
        <v>46</v>
      </c>
      <c r="B1742" t="s">
        <v>114</v>
      </c>
      <c r="C1742" t="s">
        <v>198</v>
      </c>
      <c r="D1742">
        <v>44443</v>
      </c>
      <c r="I1742">
        <v>12677</v>
      </c>
    </row>
    <row r="1743" spans="1:12" x14ac:dyDescent="0.2">
      <c r="A1743" t="s">
        <v>46</v>
      </c>
      <c r="B1743" t="s">
        <v>111</v>
      </c>
      <c r="C1743" t="s">
        <v>195</v>
      </c>
      <c r="D1743">
        <v>209796</v>
      </c>
      <c r="E1743">
        <v>209396</v>
      </c>
      <c r="I1743">
        <v>201886</v>
      </c>
      <c r="J1743">
        <v>203379</v>
      </c>
    </row>
    <row r="1744" spans="1:12" x14ac:dyDescent="0.2">
      <c r="A1744" t="s">
        <v>46</v>
      </c>
      <c r="B1744" t="s">
        <v>111</v>
      </c>
      <c r="C1744" t="s">
        <v>196</v>
      </c>
      <c r="D1744">
        <v>270384</v>
      </c>
      <c r="I1744">
        <v>266122</v>
      </c>
    </row>
    <row r="1745" spans="1:12" x14ac:dyDescent="0.2">
      <c r="A1745" t="s">
        <v>46</v>
      </c>
      <c r="B1745" t="s">
        <v>111</v>
      </c>
      <c r="C1745" t="s">
        <v>197</v>
      </c>
    </row>
    <row r="1746" spans="1:12" x14ac:dyDescent="0.2">
      <c r="A1746" t="s">
        <v>46</v>
      </c>
      <c r="B1746" t="s">
        <v>111</v>
      </c>
      <c r="C1746" t="s">
        <v>198</v>
      </c>
    </row>
    <row r="1747" spans="1:12" x14ac:dyDescent="0.2">
      <c r="A1747" t="s">
        <v>46</v>
      </c>
      <c r="B1747" t="s">
        <v>112</v>
      </c>
      <c r="C1747" t="s">
        <v>195</v>
      </c>
      <c r="D1747">
        <v>63714</v>
      </c>
      <c r="E1747">
        <v>63714</v>
      </c>
      <c r="F1747">
        <v>63714</v>
      </c>
      <c r="G1747">
        <v>63714</v>
      </c>
      <c r="I1747">
        <v>61674</v>
      </c>
      <c r="J1747">
        <v>61674</v>
      </c>
      <c r="K1747">
        <v>61674</v>
      </c>
      <c r="L1747">
        <v>61674</v>
      </c>
    </row>
    <row r="1748" spans="1:12" x14ac:dyDescent="0.2">
      <c r="A1748" t="s">
        <v>46</v>
      </c>
      <c r="B1748" t="s">
        <v>112</v>
      </c>
      <c r="C1748" t="s">
        <v>196</v>
      </c>
      <c r="D1748">
        <v>71727</v>
      </c>
      <c r="E1748">
        <v>71727</v>
      </c>
      <c r="F1748">
        <v>71727</v>
      </c>
      <c r="I1748">
        <v>69711</v>
      </c>
      <c r="J1748">
        <v>70021</v>
      </c>
      <c r="K1748">
        <v>70021</v>
      </c>
    </row>
    <row r="1749" spans="1:12" x14ac:dyDescent="0.2">
      <c r="A1749" t="s">
        <v>46</v>
      </c>
      <c r="B1749" t="s">
        <v>112</v>
      </c>
      <c r="C1749" t="s">
        <v>197</v>
      </c>
      <c r="D1749">
        <v>72573</v>
      </c>
      <c r="E1749">
        <v>72398</v>
      </c>
      <c r="I1749">
        <v>69081</v>
      </c>
      <c r="J1749">
        <v>69676</v>
      </c>
    </row>
    <row r="1750" spans="1:12" x14ac:dyDescent="0.2">
      <c r="A1750" t="s">
        <v>46</v>
      </c>
      <c r="B1750" t="s">
        <v>112</v>
      </c>
      <c r="C1750" t="s">
        <v>198</v>
      </c>
      <c r="D1750">
        <v>49019</v>
      </c>
      <c r="I1750">
        <v>47944</v>
      </c>
    </row>
    <row r="1751" spans="1:12" x14ac:dyDescent="0.2">
      <c r="A1751" t="s">
        <v>46</v>
      </c>
      <c r="B1751" t="s">
        <v>115</v>
      </c>
      <c r="C1751" t="s">
        <v>195</v>
      </c>
      <c r="D1751">
        <v>1309560</v>
      </c>
      <c r="E1751">
        <v>1069745</v>
      </c>
      <c r="F1751">
        <v>1015859</v>
      </c>
      <c r="G1751">
        <v>1009672</v>
      </c>
      <c r="I1751">
        <v>549145</v>
      </c>
      <c r="J1751">
        <v>842005</v>
      </c>
      <c r="K1751">
        <v>872465</v>
      </c>
      <c r="L1751">
        <v>881363</v>
      </c>
    </row>
    <row r="1752" spans="1:12" x14ac:dyDescent="0.2">
      <c r="A1752" t="s">
        <v>46</v>
      </c>
      <c r="B1752" t="s">
        <v>115</v>
      </c>
      <c r="C1752" t="s">
        <v>196</v>
      </c>
      <c r="D1752">
        <v>1143634</v>
      </c>
      <c r="E1752">
        <v>955805</v>
      </c>
      <c r="F1752">
        <v>918444</v>
      </c>
      <c r="I1752">
        <v>559594</v>
      </c>
      <c r="J1752">
        <v>760193</v>
      </c>
      <c r="K1752">
        <v>780830</v>
      </c>
    </row>
    <row r="1753" spans="1:12" x14ac:dyDescent="0.2">
      <c r="A1753" t="s">
        <v>46</v>
      </c>
      <c r="B1753" t="s">
        <v>115</v>
      </c>
      <c r="C1753" t="s">
        <v>197</v>
      </c>
      <c r="D1753">
        <v>1356042</v>
      </c>
      <c r="E1753">
        <v>1176063</v>
      </c>
      <c r="I1753">
        <v>601588</v>
      </c>
      <c r="J1753">
        <v>842886</v>
      </c>
    </row>
    <row r="1754" spans="1:12" x14ac:dyDescent="0.2">
      <c r="A1754" t="s">
        <v>46</v>
      </c>
      <c r="B1754" t="s">
        <v>115</v>
      </c>
      <c r="C1754" t="s">
        <v>198</v>
      </c>
      <c r="D1754">
        <v>994566</v>
      </c>
      <c r="I1754">
        <v>409978</v>
      </c>
    </row>
    <row r="1755" spans="1:12" x14ac:dyDescent="0.2">
      <c r="A1755" t="s">
        <v>46</v>
      </c>
      <c r="B1755" t="s">
        <v>113</v>
      </c>
      <c r="C1755" t="s">
        <v>195</v>
      </c>
      <c r="D1755">
        <v>42820</v>
      </c>
      <c r="E1755">
        <v>42564</v>
      </c>
      <c r="F1755">
        <v>42564</v>
      </c>
      <c r="G1755">
        <v>42564</v>
      </c>
      <c r="I1755">
        <v>41798</v>
      </c>
      <c r="J1755">
        <v>41798</v>
      </c>
      <c r="K1755">
        <v>41798</v>
      </c>
      <c r="L1755">
        <v>41798</v>
      </c>
    </row>
    <row r="1756" spans="1:12" x14ac:dyDescent="0.2">
      <c r="A1756" t="s">
        <v>46</v>
      </c>
      <c r="B1756" t="s">
        <v>113</v>
      </c>
      <c r="C1756" t="s">
        <v>196</v>
      </c>
      <c r="D1756">
        <v>33532</v>
      </c>
      <c r="E1756">
        <v>33532</v>
      </c>
      <c r="F1756">
        <v>33532</v>
      </c>
      <c r="I1756">
        <v>33340</v>
      </c>
      <c r="J1756">
        <v>33490</v>
      </c>
      <c r="K1756">
        <v>33490</v>
      </c>
    </row>
    <row r="1757" spans="1:12" x14ac:dyDescent="0.2">
      <c r="A1757" t="s">
        <v>46</v>
      </c>
      <c r="B1757" t="s">
        <v>113</v>
      </c>
      <c r="C1757" t="s">
        <v>197</v>
      </c>
      <c r="D1757">
        <v>37993</v>
      </c>
      <c r="E1757">
        <v>37993</v>
      </c>
      <c r="I1757">
        <v>35448</v>
      </c>
      <c r="J1757">
        <v>36502</v>
      </c>
    </row>
    <row r="1758" spans="1:12" x14ac:dyDescent="0.2">
      <c r="A1758" t="s">
        <v>46</v>
      </c>
      <c r="B1758" t="s">
        <v>113</v>
      </c>
      <c r="C1758" t="s">
        <v>198</v>
      </c>
      <c r="D1758">
        <v>36948</v>
      </c>
      <c r="I1758">
        <v>35877</v>
      </c>
    </row>
    <row r="1759" spans="1:12" x14ac:dyDescent="0.2">
      <c r="A1759" t="s">
        <v>46</v>
      </c>
      <c r="B1759" t="s">
        <v>72</v>
      </c>
      <c r="C1759" t="s">
        <v>195</v>
      </c>
      <c r="D1759">
        <v>82966</v>
      </c>
      <c r="E1759">
        <v>82568</v>
      </c>
      <c r="F1759">
        <v>82568</v>
      </c>
      <c r="G1759">
        <v>82568</v>
      </c>
      <c r="I1759">
        <v>76237</v>
      </c>
      <c r="J1759">
        <v>77425</v>
      </c>
      <c r="K1759">
        <v>77434</v>
      </c>
      <c r="L1759">
        <v>77434</v>
      </c>
    </row>
    <row r="1760" spans="1:12" x14ac:dyDescent="0.2">
      <c r="A1760" t="s">
        <v>46</v>
      </c>
      <c r="B1760" t="s">
        <v>72</v>
      </c>
      <c r="C1760" t="s">
        <v>196</v>
      </c>
      <c r="D1760">
        <v>82380</v>
      </c>
      <c r="E1760">
        <v>81187</v>
      </c>
      <c r="F1760">
        <v>81187</v>
      </c>
      <c r="I1760">
        <v>77454</v>
      </c>
      <c r="J1760">
        <v>77965</v>
      </c>
      <c r="K1760">
        <v>78025</v>
      </c>
    </row>
    <row r="1761" spans="1:12" x14ac:dyDescent="0.2">
      <c r="A1761" t="s">
        <v>46</v>
      </c>
      <c r="B1761" t="s">
        <v>72</v>
      </c>
      <c r="C1761" t="s">
        <v>197</v>
      </c>
      <c r="D1761">
        <v>80306</v>
      </c>
      <c r="E1761">
        <v>78998</v>
      </c>
      <c r="I1761">
        <v>74408</v>
      </c>
      <c r="J1761">
        <v>75604</v>
      </c>
    </row>
    <row r="1762" spans="1:12" x14ac:dyDescent="0.2">
      <c r="A1762" t="s">
        <v>46</v>
      </c>
      <c r="B1762" t="s">
        <v>72</v>
      </c>
      <c r="C1762" t="s">
        <v>198</v>
      </c>
      <c r="D1762">
        <v>63263</v>
      </c>
      <c r="I1762">
        <v>59172</v>
      </c>
    </row>
    <row r="1763" spans="1:12" x14ac:dyDescent="0.2">
      <c r="A1763" t="s">
        <v>47</v>
      </c>
      <c r="B1763" t="s">
        <v>109</v>
      </c>
      <c r="C1763" t="s">
        <v>195</v>
      </c>
      <c r="D1763">
        <v>118006.54</v>
      </c>
      <c r="E1763">
        <v>119215.54</v>
      </c>
      <c r="F1763">
        <v>119215.54</v>
      </c>
      <c r="G1763">
        <v>119783.54</v>
      </c>
      <c r="I1763">
        <v>4308.16</v>
      </c>
      <c r="J1763">
        <v>7556.97</v>
      </c>
      <c r="K1763">
        <v>9642.7099999999991</v>
      </c>
      <c r="L1763">
        <v>11419.83</v>
      </c>
    </row>
    <row r="1764" spans="1:12" x14ac:dyDescent="0.2">
      <c r="A1764" t="s">
        <v>47</v>
      </c>
      <c r="B1764" t="s">
        <v>109</v>
      </c>
      <c r="C1764" t="s">
        <v>196</v>
      </c>
      <c r="D1764">
        <v>100588</v>
      </c>
      <c r="E1764">
        <v>103974</v>
      </c>
      <c r="F1764">
        <v>103974</v>
      </c>
      <c r="I1764">
        <v>6207.13</v>
      </c>
      <c r="J1764">
        <v>11652.01</v>
      </c>
      <c r="K1764">
        <v>16758.96</v>
      </c>
    </row>
    <row r="1765" spans="1:12" x14ac:dyDescent="0.2">
      <c r="A1765" t="s">
        <v>47</v>
      </c>
      <c r="B1765" t="s">
        <v>109</v>
      </c>
      <c r="C1765" t="s">
        <v>197</v>
      </c>
      <c r="D1765">
        <v>198915.5</v>
      </c>
      <c r="E1765">
        <v>203966.5</v>
      </c>
      <c r="I1765">
        <v>5095.67</v>
      </c>
      <c r="J1765">
        <v>11192.89</v>
      </c>
    </row>
    <row r="1766" spans="1:12" x14ac:dyDescent="0.2">
      <c r="A1766" t="s">
        <v>47</v>
      </c>
      <c r="B1766" t="s">
        <v>109</v>
      </c>
      <c r="C1766" t="s">
        <v>198</v>
      </c>
      <c r="D1766">
        <v>81694.5</v>
      </c>
      <c r="I1766">
        <v>1632.02</v>
      </c>
    </row>
    <row r="1767" spans="1:12" x14ac:dyDescent="0.2">
      <c r="A1767" t="s">
        <v>47</v>
      </c>
      <c r="B1767" t="s">
        <v>145</v>
      </c>
      <c r="C1767" t="s">
        <v>195</v>
      </c>
    </row>
    <row r="1768" spans="1:12" x14ac:dyDescent="0.2">
      <c r="A1768" t="s">
        <v>47</v>
      </c>
      <c r="B1768" t="s">
        <v>145</v>
      </c>
      <c r="C1768" t="s">
        <v>196</v>
      </c>
    </row>
    <row r="1769" spans="1:12" x14ac:dyDescent="0.2">
      <c r="A1769" t="s">
        <v>47</v>
      </c>
      <c r="B1769" t="s">
        <v>145</v>
      </c>
      <c r="C1769" t="s">
        <v>197</v>
      </c>
    </row>
    <row r="1770" spans="1:12" x14ac:dyDescent="0.2">
      <c r="A1770" t="s">
        <v>47</v>
      </c>
      <c r="B1770" t="s">
        <v>145</v>
      </c>
      <c r="C1770" t="s">
        <v>198</v>
      </c>
    </row>
    <row r="1771" spans="1:12" x14ac:dyDescent="0.2">
      <c r="A1771" t="s">
        <v>47</v>
      </c>
      <c r="B1771" t="s">
        <v>110</v>
      </c>
      <c r="C1771" t="s">
        <v>195</v>
      </c>
      <c r="D1771">
        <v>60343.5</v>
      </c>
      <c r="E1771">
        <v>60646.5</v>
      </c>
      <c r="F1771">
        <v>60948.5</v>
      </c>
      <c r="G1771">
        <v>60948.5</v>
      </c>
      <c r="I1771">
        <v>7095.5</v>
      </c>
      <c r="J1771">
        <v>18173.5</v>
      </c>
      <c r="K1771">
        <v>27771.41</v>
      </c>
      <c r="L1771">
        <v>32216.41</v>
      </c>
    </row>
    <row r="1772" spans="1:12" x14ac:dyDescent="0.2">
      <c r="A1772" t="s">
        <v>47</v>
      </c>
      <c r="B1772" t="s">
        <v>110</v>
      </c>
      <c r="C1772" t="s">
        <v>196</v>
      </c>
      <c r="D1772">
        <v>58346</v>
      </c>
      <c r="E1772">
        <v>58296</v>
      </c>
      <c r="F1772">
        <v>58023</v>
      </c>
      <c r="I1772">
        <v>9126</v>
      </c>
      <c r="J1772">
        <v>18520</v>
      </c>
      <c r="K1772">
        <v>23385</v>
      </c>
    </row>
    <row r="1773" spans="1:12" x14ac:dyDescent="0.2">
      <c r="A1773" t="s">
        <v>47</v>
      </c>
      <c r="B1773" t="s">
        <v>110</v>
      </c>
      <c r="C1773" t="s">
        <v>197</v>
      </c>
      <c r="D1773">
        <v>67480</v>
      </c>
      <c r="E1773">
        <v>67480</v>
      </c>
      <c r="I1773">
        <v>12468.5</v>
      </c>
      <c r="J1773">
        <v>20587.5</v>
      </c>
    </row>
    <row r="1774" spans="1:12" x14ac:dyDescent="0.2">
      <c r="A1774" t="s">
        <v>47</v>
      </c>
      <c r="B1774" t="s">
        <v>110</v>
      </c>
      <c r="C1774" t="s">
        <v>198</v>
      </c>
      <c r="D1774">
        <v>51708</v>
      </c>
      <c r="I1774">
        <v>7259</v>
      </c>
    </row>
    <row r="1775" spans="1:12" x14ac:dyDescent="0.2">
      <c r="A1775" t="s">
        <v>47</v>
      </c>
      <c r="B1775" t="s">
        <v>116</v>
      </c>
      <c r="C1775" t="s">
        <v>195</v>
      </c>
      <c r="D1775">
        <v>1196</v>
      </c>
      <c r="E1775">
        <v>1196</v>
      </c>
      <c r="F1775">
        <v>1196</v>
      </c>
      <c r="G1775">
        <v>1196</v>
      </c>
      <c r="I1775">
        <v>306</v>
      </c>
      <c r="J1775">
        <v>632</v>
      </c>
      <c r="K1775">
        <v>632</v>
      </c>
      <c r="L1775">
        <v>632</v>
      </c>
    </row>
    <row r="1776" spans="1:12" x14ac:dyDescent="0.2">
      <c r="A1776" t="s">
        <v>47</v>
      </c>
      <c r="B1776" t="s">
        <v>116</v>
      </c>
      <c r="C1776" t="s">
        <v>196</v>
      </c>
      <c r="D1776">
        <v>2942.5</v>
      </c>
      <c r="E1776">
        <v>2942.5</v>
      </c>
      <c r="F1776">
        <v>2992.5</v>
      </c>
      <c r="I1776">
        <v>614.5</v>
      </c>
      <c r="J1776">
        <v>902.5</v>
      </c>
      <c r="K1776">
        <v>1090.5</v>
      </c>
    </row>
    <row r="1777" spans="1:12" x14ac:dyDescent="0.2">
      <c r="A1777" t="s">
        <v>47</v>
      </c>
      <c r="B1777" t="s">
        <v>116</v>
      </c>
      <c r="C1777" t="s">
        <v>197</v>
      </c>
      <c r="D1777">
        <v>1213.5</v>
      </c>
      <c r="E1777">
        <v>1213.5</v>
      </c>
      <c r="I1777">
        <v>313.5</v>
      </c>
      <c r="J1777">
        <v>807.5</v>
      </c>
    </row>
    <row r="1778" spans="1:12" x14ac:dyDescent="0.2">
      <c r="A1778" t="s">
        <v>47</v>
      </c>
      <c r="B1778" t="s">
        <v>116</v>
      </c>
      <c r="C1778" t="s">
        <v>198</v>
      </c>
      <c r="D1778">
        <v>2856.5</v>
      </c>
      <c r="I1778">
        <v>36.5</v>
      </c>
    </row>
    <row r="1779" spans="1:12" x14ac:dyDescent="0.2">
      <c r="A1779" t="s">
        <v>47</v>
      </c>
      <c r="B1779" t="s">
        <v>114</v>
      </c>
      <c r="C1779" t="s">
        <v>195</v>
      </c>
      <c r="D1779">
        <v>94889.5</v>
      </c>
      <c r="E1779">
        <v>94889.5</v>
      </c>
      <c r="F1779">
        <v>94889.5</v>
      </c>
      <c r="G1779">
        <v>94889.5</v>
      </c>
      <c r="I1779">
        <v>10226.69</v>
      </c>
      <c r="J1779">
        <v>39304.14</v>
      </c>
      <c r="K1779">
        <v>53794.22</v>
      </c>
      <c r="L1779">
        <v>60421.77</v>
      </c>
    </row>
    <row r="1780" spans="1:12" x14ac:dyDescent="0.2">
      <c r="A1780" t="s">
        <v>47</v>
      </c>
      <c r="B1780" t="s">
        <v>114</v>
      </c>
      <c r="C1780" t="s">
        <v>196</v>
      </c>
      <c r="D1780">
        <v>111003.5</v>
      </c>
      <c r="E1780">
        <v>110989.5</v>
      </c>
      <c r="F1780">
        <v>111815.5</v>
      </c>
      <c r="I1780">
        <v>19609.5</v>
      </c>
      <c r="J1780">
        <v>43303.5</v>
      </c>
      <c r="K1780">
        <v>55979.05</v>
      </c>
    </row>
    <row r="1781" spans="1:12" x14ac:dyDescent="0.2">
      <c r="A1781" t="s">
        <v>47</v>
      </c>
      <c r="B1781" t="s">
        <v>114</v>
      </c>
      <c r="C1781" t="s">
        <v>197</v>
      </c>
      <c r="D1781">
        <v>110424</v>
      </c>
      <c r="E1781">
        <v>110424</v>
      </c>
      <c r="I1781">
        <v>20118.2</v>
      </c>
      <c r="J1781">
        <v>37688.239999999998</v>
      </c>
    </row>
    <row r="1782" spans="1:12" x14ac:dyDescent="0.2">
      <c r="A1782" t="s">
        <v>47</v>
      </c>
      <c r="B1782" t="s">
        <v>114</v>
      </c>
      <c r="C1782" t="s">
        <v>198</v>
      </c>
      <c r="D1782">
        <v>95185.5</v>
      </c>
      <c r="I1782">
        <v>10778.5</v>
      </c>
    </row>
    <row r="1783" spans="1:12" x14ac:dyDescent="0.2">
      <c r="A1783" t="s">
        <v>47</v>
      </c>
      <c r="B1783" t="s">
        <v>111</v>
      </c>
      <c r="C1783" t="s">
        <v>195</v>
      </c>
      <c r="D1783">
        <v>64254.66</v>
      </c>
      <c r="E1783">
        <v>64204.66</v>
      </c>
      <c r="F1783">
        <v>64204.66</v>
      </c>
      <c r="G1783">
        <v>64204.66</v>
      </c>
      <c r="I1783">
        <v>62944.66</v>
      </c>
      <c r="J1783">
        <v>63854.66</v>
      </c>
      <c r="K1783">
        <v>63854.66</v>
      </c>
      <c r="L1783">
        <v>63854.66</v>
      </c>
    </row>
    <row r="1784" spans="1:12" x14ac:dyDescent="0.2">
      <c r="A1784" t="s">
        <v>47</v>
      </c>
      <c r="B1784" t="s">
        <v>111</v>
      </c>
      <c r="C1784" t="s">
        <v>196</v>
      </c>
      <c r="D1784">
        <v>118507.33</v>
      </c>
      <c r="E1784">
        <v>118507.33</v>
      </c>
      <c r="F1784">
        <v>118507.33</v>
      </c>
      <c r="I1784">
        <v>115679.33</v>
      </c>
      <c r="J1784">
        <v>117539.33</v>
      </c>
      <c r="K1784">
        <v>117589.33</v>
      </c>
    </row>
    <row r="1785" spans="1:12" x14ac:dyDescent="0.2">
      <c r="A1785" t="s">
        <v>47</v>
      </c>
      <c r="B1785" t="s">
        <v>111</v>
      </c>
      <c r="C1785" t="s">
        <v>197</v>
      </c>
      <c r="D1785">
        <v>112843.83</v>
      </c>
      <c r="E1785">
        <v>112743.83</v>
      </c>
      <c r="I1785">
        <v>111935.08</v>
      </c>
      <c r="J1785">
        <v>112517.58</v>
      </c>
    </row>
    <row r="1786" spans="1:12" x14ac:dyDescent="0.2">
      <c r="A1786" t="s">
        <v>47</v>
      </c>
      <c r="B1786" t="s">
        <v>111</v>
      </c>
      <c r="C1786" t="s">
        <v>198</v>
      </c>
      <c r="D1786">
        <v>97147</v>
      </c>
      <c r="I1786">
        <v>94549</v>
      </c>
    </row>
    <row r="1787" spans="1:12" x14ac:dyDescent="0.2">
      <c r="A1787" t="s">
        <v>47</v>
      </c>
      <c r="B1787" t="s">
        <v>112</v>
      </c>
      <c r="C1787" t="s">
        <v>195</v>
      </c>
      <c r="D1787">
        <v>51631.75</v>
      </c>
      <c r="E1787">
        <v>51631.75</v>
      </c>
      <c r="F1787">
        <v>51631.75</v>
      </c>
      <c r="G1787">
        <v>51631.75</v>
      </c>
      <c r="I1787">
        <v>51231.75</v>
      </c>
      <c r="J1787">
        <v>51231.75</v>
      </c>
      <c r="K1787">
        <v>51231.75</v>
      </c>
      <c r="L1787">
        <v>51231.75</v>
      </c>
    </row>
    <row r="1788" spans="1:12" x14ac:dyDescent="0.2">
      <c r="A1788" t="s">
        <v>47</v>
      </c>
      <c r="B1788" t="s">
        <v>112</v>
      </c>
      <c r="C1788" t="s">
        <v>196</v>
      </c>
      <c r="D1788">
        <v>56073.599999999999</v>
      </c>
      <c r="E1788">
        <v>56073.599999999999</v>
      </c>
      <c r="F1788">
        <v>56073.599999999999</v>
      </c>
      <c r="I1788">
        <v>55008.6</v>
      </c>
      <c r="J1788">
        <v>56073.599999999999</v>
      </c>
      <c r="K1788">
        <v>56073.599999999999</v>
      </c>
    </row>
    <row r="1789" spans="1:12" x14ac:dyDescent="0.2">
      <c r="A1789" t="s">
        <v>47</v>
      </c>
      <c r="B1789" t="s">
        <v>112</v>
      </c>
      <c r="C1789" t="s">
        <v>197</v>
      </c>
      <c r="D1789">
        <v>61063.05</v>
      </c>
      <c r="E1789">
        <v>61063.05</v>
      </c>
      <c r="I1789">
        <v>60323.05</v>
      </c>
      <c r="J1789">
        <v>61063.05</v>
      </c>
    </row>
    <row r="1790" spans="1:12" x14ac:dyDescent="0.2">
      <c r="A1790" t="s">
        <v>47</v>
      </c>
      <c r="B1790" t="s">
        <v>112</v>
      </c>
      <c r="C1790" t="s">
        <v>198</v>
      </c>
      <c r="D1790">
        <v>48068.19</v>
      </c>
      <c r="I1790">
        <v>48062.19</v>
      </c>
    </row>
    <row r="1791" spans="1:12" x14ac:dyDescent="0.2">
      <c r="A1791" t="s">
        <v>47</v>
      </c>
      <c r="B1791" t="s">
        <v>115</v>
      </c>
      <c r="C1791" t="s">
        <v>195</v>
      </c>
      <c r="D1791">
        <v>299522.25</v>
      </c>
      <c r="E1791">
        <v>281163.5</v>
      </c>
      <c r="F1791">
        <v>278449.5</v>
      </c>
      <c r="G1791">
        <v>278107.5</v>
      </c>
      <c r="I1791">
        <v>132253.25</v>
      </c>
      <c r="J1791">
        <v>223339.5</v>
      </c>
      <c r="K1791">
        <v>239725.5</v>
      </c>
      <c r="L1791">
        <v>244010.5</v>
      </c>
    </row>
    <row r="1792" spans="1:12" x14ac:dyDescent="0.2">
      <c r="A1792" t="s">
        <v>47</v>
      </c>
      <c r="B1792" t="s">
        <v>115</v>
      </c>
      <c r="C1792" t="s">
        <v>196</v>
      </c>
      <c r="D1792">
        <v>331247.65000000002</v>
      </c>
      <c r="E1792">
        <v>306132.95</v>
      </c>
      <c r="F1792">
        <v>304095.95</v>
      </c>
      <c r="I1792">
        <v>162714.4</v>
      </c>
      <c r="J1792">
        <v>254469.45</v>
      </c>
      <c r="K1792">
        <v>266468.44</v>
      </c>
    </row>
    <row r="1793" spans="1:12" x14ac:dyDescent="0.2">
      <c r="A1793" t="s">
        <v>47</v>
      </c>
      <c r="B1793" t="s">
        <v>115</v>
      </c>
      <c r="C1793" t="s">
        <v>197</v>
      </c>
      <c r="D1793">
        <v>367319.45</v>
      </c>
      <c r="E1793">
        <v>347104.2</v>
      </c>
      <c r="I1793">
        <v>187740.2</v>
      </c>
      <c r="J1793">
        <v>280513.95</v>
      </c>
    </row>
    <row r="1794" spans="1:12" x14ac:dyDescent="0.2">
      <c r="A1794" t="s">
        <v>47</v>
      </c>
      <c r="B1794" t="s">
        <v>115</v>
      </c>
      <c r="C1794" t="s">
        <v>198</v>
      </c>
      <c r="D1794">
        <v>311609.15000000002</v>
      </c>
      <c r="I1794">
        <v>155428.5</v>
      </c>
    </row>
    <row r="1795" spans="1:12" x14ac:dyDescent="0.2">
      <c r="A1795" t="s">
        <v>47</v>
      </c>
      <c r="B1795" t="s">
        <v>113</v>
      </c>
      <c r="C1795" t="s">
        <v>195</v>
      </c>
      <c r="D1795">
        <v>27515</v>
      </c>
      <c r="E1795">
        <v>27515</v>
      </c>
      <c r="F1795">
        <v>27515</v>
      </c>
      <c r="G1795">
        <v>27515</v>
      </c>
      <c r="I1795">
        <v>27350.5</v>
      </c>
      <c r="J1795">
        <v>27462.5</v>
      </c>
      <c r="K1795">
        <v>27462.5</v>
      </c>
      <c r="L1795">
        <v>27462.5</v>
      </c>
    </row>
    <row r="1796" spans="1:12" x14ac:dyDescent="0.2">
      <c r="A1796" t="s">
        <v>47</v>
      </c>
      <c r="B1796" t="s">
        <v>113</v>
      </c>
      <c r="C1796" t="s">
        <v>196</v>
      </c>
      <c r="D1796">
        <v>28938.799999999999</v>
      </c>
      <c r="E1796">
        <v>28963.3</v>
      </c>
      <c r="F1796">
        <v>28963.3</v>
      </c>
      <c r="I1796">
        <v>28484.799999999999</v>
      </c>
      <c r="J1796">
        <v>28959.3</v>
      </c>
      <c r="K1796">
        <v>28959.3</v>
      </c>
    </row>
    <row r="1797" spans="1:12" x14ac:dyDescent="0.2">
      <c r="A1797" t="s">
        <v>47</v>
      </c>
      <c r="B1797" t="s">
        <v>113</v>
      </c>
      <c r="C1797" t="s">
        <v>197</v>
      </c>
      <c r="D1797">
        <v>31975.51</v>
      </c>
      <c r="E1797">
        <v>31925.51</v>
      </c>
      <c r="I1797">
        <v>31180.51</v>
      </c>
      <c r="J1797">
        <v>31925.51</v>
      </c>
    </row>
    <row r="1798" spans="1:12" x14ac:dyDescent="0.2">
      <c r="A1798" t="s">
        <v>47</v>
      </c>
      <c r="B1798" t="s">
        <v>113</v>
      </c>
      <c r="C1798" t="s">
        <v>198</v>
      </c>
      <c r="D1798">
        <v>23495</v>
      </c>
      <c r="I1798">
        <v>23495</v>
      </c>
    </row>
    <row r="1799" spans="1:12" x14ac:dyDescent="0.2">
      <c r="A1799" t="s">
        <v>47</v>
      </c>
      <c r="B1799" t="s">
        <v>72</v>
      </c>
      <c r="C1799" t="s">
        <v>195</v>
      </c>
      <c r="D1799">
        <v>39446.5</v>
      </c>
      <c r="E1799">
        <v>39446.5</v>
      </c>
      <c r="F1799">
        <v>39396.5</v>
      </c>
      <c r="G1799">
        <v>39396.5</v>
      </c>
      <c r="I1799">
        <v>36960.239999999998</v>
      </c>
      <c r="J1799">
        <v>38220.74</v>
      </c>
      <c r="K1799">
        <v>38245.74</v>
      </c>
      <c r="L1799">
        <v>38245.74</v>
      </c>
    </row>
    <row r="1800" spans="1:12" x14ac:dyDescent="0.2">
      <c r="A1800" t="s">
        <v>47</v>
      </c>
      <c r="B1800" t="s">
        <v>72</v>
      </c>
      <c r="C1800" t="s">
        <v>196</v>
      </c>
      <c r="D1800">
        <v>48610.53</v>
      </c>
      <c r="E1800">
        <v>48660.53</v>
      </c>
      <c r="F1800">
        <v>48660.53</v>
      </c>
      <c r="I1800">
        <v>46802.27</v>
      </c>
      <c r="J1800">
        <v>47735.77</v>
      </c>
      <c r="K1800">
        <v>47735.77</v>
      </c>
    </row>
    <row r="1801" spans="1:12" x14ac:dyDescent="0.2">
      <c r="A1801" t="s">
        <v>47</v>
      </c>
      <c r="B1801" t="s">
        <v>72</v>
      </c>
      <c r="C1801" t="s">
        <v>197</v>
      </c>
      <c r="D1801">
        <v>48507.73</v>
      </c>
      <c r="E1801">
        <v>48507.73</v>
      </c>
      <c r="I1801">
        <v>46717.69</v>
      </c>
      <c r="J1801">
        <v>48046.69</v>
      </c>
    </row>
    <row r="1802" spans="1:12" x14ac:dyDescent="0.2">
      <c r="A1802" t="s">
        <v>47</v>
      </c>
      <c r="B1802" t="s">
        <v>72</v>
      </c>
      <c r="C1802" t="s">
        <v>198</v>
      </c>
      <c r="D1802">
        <v>45944.12</v>
      </c>
      <c r="I1802">
        <v>42880.55</v>
      </c>
    </row>
    <row r="1803" spans="1:12" x14ac:dyDescent="0.2">
      <c r="A1803" t="s">
        <v>48</v>
      </c>
      <c r="B1803" t="s">
        <v>109</v>
      </c>
      <c r="C1803" t="s">
        <v>195</v>
      </c>
      <c r="D1803">
        <v>1369604.75</v>
      </c>
      <c r="E1803">
        <v>1369604.75</v>
      </c>
      <c r="F1803">
        <v>1370064.75</v>
      </c>
      <c r="G1803">
        <v>1369387.75</v>
      </c>
      <c r="I1803">
        <v>26657.27</v>
      </c>
      <c r="J1803">
        <v>43956.19</v>
      </c>
      <c r="K1803">
        <v>60688.3</v>
      </c>
      <c r="L1803">
        <v>72602.259999999995</v>
      </c>
    </row>
    <row r="1804" spans="1:12" x14ac:dyDescent="0.2">
      <c r="A1804" t="s">
        <v>48</v>
      </c>
      <c r="B1804" t="s">
        <v>109</v>
      </c>
      <c r="C1804" t="s">
        <v>196</v>
      </c>
      <c r="D1804">
        <v>791631.6</v>
      </c>
      <c r="E1804">
        <v>791724.6</v>
      </c>
      <c r="F1804">
        <v>791138.6</v>
      </c>
      <c r="I1804">
        <v>28545.99</v>
      </c>
      <c r="J1804">
        <v>45586.17</v>
      </c>
      <c r="K1804">
        <v>58466.97</v>
      </c>
    </row>
    <row r="1805" spans="1:12" x14ac:dyDescent="0.2">
      <c r="A1805" t="s">
        <v>48</v>
      </c>
      <c r="B1805" t="s">
        <v>109</v>
      </c>
      <c r="C1805" t="s">
        <v>197</v>
      </c>
      <c r="D1805">
        <v>532809.88</v>
      </c>
      <c r="E1805">
        <v>535068.88</v>
      </c>
      <c r="I1805">
        <v>22541.89</v>
      </c>
      <c r="J1805">
        <v>36176.639999999999</v>
      </c>
    </row>
    <row r="1806" spans="1:12" x14ac:dyDescent="0.2">
      <c r="A1806" t="s">
        <v>48</v>
      </c>
      <c r="B1806" t="s">
        <v>109</v>
      </c>
      <c r="C1806" t="s">
        <v>198</v>
      </c>
      <c r="D1806">
        <v>1175058.07</v>
      </c>
      <c r="I1806">
        <v>29792.55</v>
      </c>
    </row>
    <row r="1807" spans="1:12" x14ac:dyDescent="0.2">
      <c r="A1807" t="s">
        <v>48</v>
      </c>
      <c r="B1807" t="s">
        <v>145</v>
      </c>
      <c r="C1807" t="s">
        <v>195</v>
      </c>
      <c r="D1807">
        <v>475856</v>
      </c>
      <c r="E1807">
        <v>475906</v>
      </c>
      <c r="F1807">
        <v>475906</v>
      </c>
      <c r="G1807">
        <v>475906</v>
      </c>
      <c r="I1807">
        <v>750</v>
      </c>
      <c r="J1807">
        <v>750</v>
      </c>
      <c r="K1807">
        <v>750</v>
      </c>
      <c r="L1807">
        <v>750</v>
      </c>
    </row>
    <row r="1808" spans="1:12" x14ac:dyDescent="0.2">
      <c r="A1808" t="s">
        <v>48</v>
      </c>
      <c r="B1808" t="s">
        <v>145</v>
      </c>
      <c r="C1808" t="s">
        <v>196</v>
      </c>
      <c r="D1808">
        <v>212643.59</v>
      </c>
      <c r="E1808">
        <v>212643.59</v>
      </c>
      <c r="F1808">
        <v>212693.59</v>
      </c>
      <c r="I1808">
        <v>0</v>
      </c>
      <c r="J1808">
        <v>0</v>
      </c>
      <c r="K1808">
        <v>0</v>
      </c>
    </row>
    <row r="1809" spans="1:12" x14ac:dyDescent="0.2">
      <c r="A1809" t="s">
        <v>48</v>
      </c>
      <c r="B1809" t="s">
        <v>145</v>
      </c>
      <c r="C1809" t="s">
        <v>197</v>
      </c>
      <c r="D1809">
        <v>107594</v>
      </c>
      <c r="E1809">
        <v>107644</v>
      </c>
      <c r="I1809">
        <v>0</v>
      </c>
      <c r="J1809">
        <v>0</v>
      </c>
    </row>
    <row r="1810" spans="1:12" x14ac:dyDescent="0.2">
      <c r="A1810" t="s">
        <v>48</v>
      </c>
      <c r="B1810" t="s">
        <v>145</v>
      </c>
      <c r="C1810" t="s">
        <v>198</v>
      </c>
      <c r="D1810">
        <v>214306</v>
      </c>
      <c r="I1810">
        <v>0</v>
      </c>
    </row>
    <row r="1811" spans="1:12" x14ac:dyDescent="0.2">
      <c r="A1811" t="s">
        <v>48</v>
      </c>
      <c r="B1811" t="s">
        <v>110</v>
      </c>
      <c r="C1811" t="s">
        <v>195</v>
      </c>
      <c r="D1811">
        <v>365195.15</v>
      </c>
      <c r="E1811">
        <v>366240.15</v>
      </c>
      <c r="F1811">
        <v>366240.15</v>
      </c>
      <c r="G1811">
        <v>366243.15</v>
      </c>
      <c r="I1811">
        <v>49818.68</v>
      </c>
      <c r="J1811">
        <v>92190.23</v>
      </c>
      <c r="K1811">
        <v>112438.45</v>
      </c>
      <c r="L1811">
        <v>123736.27</v>
      </c>
    </row>
    <row r="1812" spans="1:12" x14ac:dyDescent="0.2">
      <c r="A1812" t="s">
        <v>48</v>
      </c>
      <c r="B1812" t="s">
        <v>110</v>
      </c>
      <c r="C1812" t="s">
        <v>196</v>
      </c>
      <c r="D1812">
        <v>350887.24</v>
      </c>
      <c r="E1812">
        <v>351266.24</v>
      </c>
      <c r="F1812">
        <v>351942.24</v>
      </c>
      <c r="I1812">
        <v>91021.54</v>
      </c>
      <c r="J1812">
        <v>123562.62</v>
      </c>
      <c r="K1812">
        <v>141462.63</v>
      </c>
    </row>
    <row r="1813" spans="1:12" x14ac:dyDescent="0.2">
      <c r="A1813" t="s">
        <v>48</v>
      </c>
      <c r="B1813" t="s">
        <v>110</v>
      </c>
      <c r="C1813" t="s">
        <v>197</v>
      </c>
      <c r="D1813">
        <v>414694.58</v>
      </c>
      <c r="E1813">
        <v>414735.98</v>
      </c>
      <c r="I1813">
        <v>138783.14000000001</v>
      </c>
      <c r="J1813">
        <v>179530.04</v>
      </c>
    </row>
    <row r="1814" spans="1:12" x14ac:dyDescent="0.2">
      <c r="A1814" t="s">
        <v>48</v>
      </c>
      <c r="B1814" t="s">
        <v>110</v>
      </c>
      <c r="C1814" t="s">
        <v>198</v>
      </c>
      <c r="D1814">
        <v>421479.05</v>
      </c>
      <c r="I1814">
        <v>110030.58</v>
      </c>
    </row>
    <row r="1815" spans="1:12" x14ac:dyDescent="0.2">
      <c r="A1815" t="s">
        <v>48</v>
      </c>
      <c r="B1815" t="s">
        <v>116</v>
      </c>
      <c r="C1815" t="s">
        <v>195</v>
      </c>
      <c r="D1815">
        <v>23641</v>
      </c>
      <c r="E1815">
        <v>23541</v>
      </c>
      <c r="F1815">
        <v>23541</v>
      </c>
      <c r="G1815">
        <v>23806</v>
      </c>
      <c r="I1815">
        <v>631</v>
      </c>
      <c r="J1815">
        <v>831</v>
      </c>
      <c r="K1815">
        <v>931</v>
      </c>
      <c r="L1815">
        <v>1178.5</v>
      </c>
    </row>
    <row r="1816" spans="1:12" x14ac:dyDescent="0.2">
      <c r="A1816" t="s">
        <v>48</v>
      </c>
      <c r="B1816" t="s">
        <v>116</v>
      </c>
      <c r="C1816" t="s">
        <v>196</v>
      </c>
      <c r="D1816">
        <v>34791</v>
      </c>
      <c r="E1816">
        <v>34791</v>
      </c>
      <c r="F1816">
        <v>34791</v>
      </c>
      <c r="I1816">
        <v>947</v>
      </c>
      <c r="J1816">
        <v>3445.5</v>
      </c>
      <c r="K1816">
        <v>4468.03</v>
      </c>
    </row>
    <row r="1817" spans="1:12" x14ac:dyDescent="0.2">
      <c r="A1817" t="s">
        <v>48</v>
      </c>
      <c r="B1817" t="s">
        <v>116</v>
      </c>
      <c r="C1817" t="s">
        <v>197</v>
      </c>
      <c r="D1817">
        <v>53403.5</v>
      </c>
      <c r="E1817">
        <v>53818.05</v>
      </c>
      <c r="I1817">
        <v>18684</v>
      </c>
      <c r="J1817">
        <v>22049</v>
      </c>
    </row>
    <row r="1818" spans="1:12" x14ac:dyDescent="0.2">
      <c r="A1818" t="s">
        <v>48</v>
      </c>
      <c r="B1818" t="s">
        <v>116</v>
      </c>
      <c r="C1818" t="s">
        <v>198</v>
      </c>
      <c r="D1818">
        <v>32775</v>
      </c>
      <c r="I1818">
        <v>9256.0499999999993</v>
      </c>
    </row>
    <row r="1819" spans="1:12" x14ac:dyDescent="0.2">
      <c r="A1819" t="s">
        <v>48</v>
      </c>
      <c r="B1819" t="s">
        <v>114</v>
      </c>
      <c r="C1819" t="s">
        <v>195</v>
      </c>
      <c r="D1819">
        <v>382749.62</v>
      </c>
      <c r="E1819">
        <v>382027.62</v>
      </c>
      <c r="F1819">
        <v>381970.62</v>
      </c>
      <c r="G1819">
        <v>380894.62</v>
      </c>
      <c r="I1819">
        <v>94247.039999999994</v>
      </c>
      <c r="J1819">
        <v>171887.8</v>
      </c>
      <c r="K1819">
        <v>205871.88</v>
      </c>
      <c r="L1819">
        <v>229189.65</v>
      </c>
    </row>
    <row r="1820" spans="1:12" x14ac:dyDescent="0.2">
      <c r="A1820" t="s">
        <v>48</v>
      </c>
      <c r="B1820" t="s">
        <v>114</v>
      </c>
      <c r="C1820" t="s">
        <v>196</v>
      </c>
      <c r="D1820">
        <v>380975.86</v>
      </c>
      <c r="E1820">
        <v>379538.86</v>
      </c>
      <c r="F1820">
        <v>379102.46</v>
      </c>
      <c r="I1820">
        <v>103756.37</v>
      </c>
      <c r="J1820">
        <v>160141.32999999999</v>
      </c>
      <c r="K1820">
        <v>197610.03</v>
      </c>
    </row>
    <row r="1821" spans="1:12" x14ac:dyDescent="0.2">
      <c r="A1821" t="s">
        <v>48</v>
      </c>
      <c r="B1821" t="s">
        <v>114</v>
      </c>
      <c r="C1821" t="s">
        <v>197</v>
      </c>
      <c r="D1821">
        <v>318848.83</v>
      </c>
      <c r="E1821">
        <v>318188.83</v>
      </c>
      <c r="I1821">
        <v>75887.320000000007</v>
      </c>
      <c r="J1821">
        <v>119899.13</v>
      </c>
    </row>
    <row r="1822" spans="1:12" x14ac:dyDescent="0.2">
      <c r="A1822" t="s">
        <v>48</v>
      </c>
      <c r="B1822" t="s">
        <v>114</v>
      </c>
      <c r="C1822" t="s">
        <v>198</v>
      </c>
      <c r="D1822">
        <v>345701.74</v>
      </c>
      <c r="I1822">
        <v>90594.5</v>
      </c>
    </row>
    <row r="1823" spans="1:12" x14ac:dyDescent="0.2">
      <c r="A1823" t="s">
        <v>48</v>
      </c>
      <c r="B1823" t="s">
        <v>111</v>
      </c>
      <c r="C1823" t="s">
        <v>195</v>
      </c>
      <c r="D1823">
        <v>259983.3</v>
      </c>
      <c r="E1823">
        <v>260028.3</v>
      </c>
      <c r="F1823">
        <v>259943.3</v>
      </c>
      <c r="G1823">
        <v>259843.3</v>
      </c>
      <c r="I1823">
        <v>252353.3</v>
      </c>
      <c r="J1823">
        <v>252498.3</v>
      </c>
      <c r="K1823">
        <v>253271.47</v>
      </c>
      <c r="L1823">
        <v>253468.47</v>
      </c>
    </row>
    <row r="1824" spans="1:12" x14ac:dyDescent="0.2">
      <c r="A1824" t="s">
        <v>48</v>
      </c>
      <c r="B1824" t="s">
        <v>111</v>
      </c>
      <c r="C1824" t="s">
        <v>196</v>
      </c>
      <c r="D1824">
        <v>276665.17</v>
      </c>
      <c r="E1824">
        <v>275543.74</v>
      </c>
      <c r="F1824">
        <v>275528.74</v>
      </c>
      <c r="I1824">
        <v>274740.17</v>
      </c>
      <c r="J1824">
        <v>273713.74</v>
      </c>
      <c r="K1824">
        <v>273713.74</v>
      </c>
    </row>
    <row r="1825" spans="1:12" x14ac:dyDescent="0.2">
      <c r="A1825" t="s">
        <v>48</v>
      </c>
      <c r="B1825" t="s">
        <v>111</v>
      </c>
      <c r="C1825" t="s">
        <v>197</v>
      </c>
      <c r="D1825">
        <v>377806.7</v>
      </c>
      <c r="E1825">
        <v>377596.7</v>
      </c>
      <c r="I1825">
        <v>370361.66</v>
      </c>
      <c r="J1825">
        <v>371357.2</v>
      </c>
    </row>
    <row r="1826" spans="1:12" x14ac:dyDescent="0.2">
      <c r="A1826" t="s">
        <v>48</v>
      </c>
      <c r="B1826" t="s">
        <v>111</v>
      </c>
      <c r="C1826" t="s">
        <v>198</v>
      </c>
      <c r="D1826">
        <v>447480.84</v>
      </c>
      <c r="I1826">
        <v>445630.34</v>
      </c>
    </row>
    <row r="1827" spans="1:12" x14ac:dyDescent="0.2">
      <c r="A1827" t="s">
        <v>48</v>
      </c>
      <c r="B1827" t="s">
        <v>112</v>
      </c>
      <c r="C1827" t="s">
        <v>195</v>
      </c>
      <c r="D1827">
        <v>174438.36</v>
      </c>
      <c r="E1827">
        <v>174438.36</v>
      </c>
      <c r="F1827">
        <v>174438.36</v>
      </c>
      <c r="G1827">
        <v>174438.36</v>
      </c>
      <c r="I1827">
        <v>172994.86</v>
      </c>
      <c r="J1827">
        <v>172994.86</v>
      </c>
      <c r="K1827">
        <v>173044.86</v>
      </c>
      <c r="L1827">
        <v>173034.86</v>
      </c>
    </row>
    <row r="1828" spans="1:12" x14ac:dyDescent="0.2">
      <c r="A1828" t="s">
        <v>48</v>
      </c>
      <c r="B1828" t="s">
        <v>112</v>
      </c>
      <c r="C1828" t="s">
        <v>196</v>
      </c>
      <c r="D1828">
        <v>205420.31</v>
      </c>
      <c r="E1828">
        <v>205420.31</v>
      </c>
      <c r="F1828">
        <v>205420.31</v>
      </c>
      <c r="I1828">
        <v>203926.81</v>
      </c>
      <c r="J1828">
        <v>203926.81</v>
      </c>
      <c r="K1828">
        <v>203926.81</v>
      </c>
    </row>
    <row r="1829" spans="1:12" x14ac:dyDescent="0.2">
      <c r="A1829" t="s">
        <v>48</v>
      </c>
      <c r="B1829" t="s">
        <v>112</v>
      </c>
      <c r="C1829" t="s">
        <v>197</v>
      </c>
      <c r="D1829">
        <v>224355.46</v>
      </c>
      <c r="E1829">
        <v>224055.46</v>
      </c>
      <c r="I1829">
        <v>222546.96</v>
      </c>
      <c r="J1829">
        <v>222496.96</v>
      </c>
    </row>
    <row r="1830" spans="1:12" x14ac:dyDescent="0.2">
      <c r="A1830" t="s">
        <v>48</v>
      </c>
      <c r="B1830" t="s">
        <v>112</v>
      </c>
      <c r="C1830" t="s">
        <v>198</v>
      </c>
      <c r="D1830">
        <v>192680.58</v>
      </c>
      <c r="I1830">
        <v>190949.85</v>
      </c>
    </row>
    <row r="1831" spans="1:12" x14ac:dyDescent="0.2">
      <c r="A1831" t="s">
        <v>48</v>
      </c>
      <c r="B1831" t="s">
        <v>115</v>
      </c>
      <c r="C1831" t="s">
        <v>195</v>
      </c>
      <c r="D1831">
        <v>588747.11</v>
      </c>
      <c r="E1831">
        <v>614130.52</v>
      </c>
      <c r="F1831">
        <v>617101.12</v>
      </c>
      <c r="G1831">
        <v>620019.72</v>
      </c>
      <c r="I1831">
        <v>332822.83</v>
      </c>
      <c r="J1831">
        <v>449364.92</v>
      </c>
      <c r="K1831">
        <v>471583.58</v>
      </c>
      <c r="L1831">
        <v>484508.5</v>
      </c>
    </row>
    <row r="1832" spans="1:12" x14ac:dyDescent="0.2">
      <c r="A1832" t="s">
        <v>48</v>
      </c>
      <c r="B1832" t="s">
        <v>115</v>
      </c>
      <c r="C1832" t="s">
        <v>196</v>
      </c>
      <c r="D1832">
        <v>691406.62</v>
      </c>
      <c r="E1832">
        <v>694163.24</v>
      </c>
      <c r="F1832">
        <v>693706.44</v>
      </c>
      <c r="I1832">
        <v>393565.72</v>
      </c>
      <c r="J1832">
        <v>517410.85</v>
      </c>
      <c r="K1832">
        <v>544414.27</v>
      </c>
    </row>
    <row r="1833" spans="1:12" x14ac:dyDescent="0.2">
      <c r="A1833" t="s">
        <v>48</v>
      </c>
      <c r="B1833" t="s">
        <v>115</v>
      </c>
      <c r="C1833" t="s">
        <v>197</v>
      </c>
      <c r="D1833">
        <v>662399.54</v>
      </c>
      <c r="E1833">
        <v>657442.93999999994</v>
      </c>
      <c r="I1833">
        <v>357543.32</v>
      </c>
      <c r="J1833">
        <v>470026.51</v>
      </c>
    </row>
    <row r="1834" spans="1:12" x14ac:dyDescent="0.2">
      <c r="A1834" t="s">
        <v>48</v>
      </c>
      <c r="B1834" t="s">
        <v>115</v>
      </c>
      <c r="C1834" t="s">
        <v>198</v>
      </c>
      <c r="D1834">
        <v>702902.92</v>
      </c>
      <c r="I1834">
        <v>404151.08</v>
      </c>
    </row>
    <row r="1835" spans="1:12" x14ac:dyDescent="0.2">
      <c r="A1835" t="s">
        <v>48</v>
      </c>
      <c r="B1835" t="s">
        <v>113</v>
      </c>
      <c r="C1835" t="s">
        <v>195</v>
      </c>
      <c r="D1835">
        <v>50158</v>
      </c>
      <c r="E1835">
        <v>50158</v>
      </c>
      <c r="F1835">
        <v>50158</v>
      </c>
      <c r="G1835">
        <v>50158</v>
      </c>
      <c r="I1835">
        <v>49842</v>
      </c>
      <c r="J1835">
        <v>49842</v>
      </c>
      <c r="K1835">
        <v>49842</v>
      </c>
      <c r="L1835">
        <v>49842</v>
      </c>
    </row>
    <row r="1836" spans="1:12" x14ac:dyDescent="0.2">
      <c r="A1836" t="s">
        <v>48</v>
      </c>
      <c r="B1836" t="s">
        <v>113</v>
      </c>
      <c r="C1836" t="s">
        <v>196</v>
      </c>
      <c r="D1836">
        <v>69783.08</v>
      </c>
      <c r="E1836">
        <v>69783.08</v>
      </c>
      <c r="F1836">
        <v>69783.08</v>
      </c>
      <c r="I1836">
        <v>67979.08</v>
      </c>
      <c r="J1836">
        <v>67979.08</v>
      </c>
      <c r="K1836">
        <v>67979.08</v>
      </c>
    </row>
    <row r="1837" spans="1:12" x14ac:dyDescent="0.2">
      <c r="A1837" t="s">
        <v>48</v>
      </c>
      <c r="B1837" t="s">
        <v>113</v>
      </c>
      <c r="C1837" t="s">
        <v>197</v>
      </c>
      <c r="D1837">
        <v>69253.5</v>
      </c>
      <c r="E1837">
        <v>68673.5</v>
      </c>
      <c r="I1837">
        <v>67607.5</v>
      </c>
      <c r="J1837">
        <v>67607.5</v>
      </c>
    </row>
    <row r="1838" spans="1:12" x14ac:dyDescent="0.2">
      <c r="A1838" t="s">
        <v>48</v>
      </c>
      <c r="B1838" t="s">
        <v>113</v>
      </c>
      <c r="C1838" t="s">
        <v>198</v>
      </c>
      <c r="D1838">
        <v>54145</v>
      </c>
      <c r="I1838">
        <v>52684</v>
      </c>
    </row>
    <row r="1839" spans="1:12" x14ac:dyDescent="0.2">
      <c r="A1839" t="s">
        <v>48</v>
      </c>
      <c r="B1839" t="s">
        <v>72</v>
      </c>
      <c r="C1839" t="s">
        <v>195</v>
      </c>
      <c r="D1839">
        <v>156229</v>
      </c>
      <c r="E1839">
        <v>156229</v>
      </c>
      <c r="F1839">
        <v>156229</v>
      </c>
      <c r="G1839">
        <v>156229</v>
      </c>
      <c r="I1839">
        <v>126993.95</v>
      </c>
      <c r="J1839">
        <v>129015.95</v>
      </c>
      <c r="K1839">
        <v>129034.55</v>
      </c>
      <c r="L1839">
        <v>129034.55</v>
      </c>
    </row>
    <row r="1840" spans="1:12" x14ac:dyDescent="0.2">
      <c r="A1840" t="s">
        <v>48</v>
      </c>
      <c r="B1840" t="s">
        <v>72</v>
      </c>
      <c r="C1840" t="s">
        <v>196</v>
      </c>
      <c r="D1840">
        <v>179977</v>
      </c>
      <c r="E1840">
        <v>179967</v>
      </c>
      <c r="F1840">
        <v>179967</v>
      </c>
      <c r="I1840">
        <v>156115</v>
      </c>
      <c r="J1840">
        <v>156115</v>
      </c>
      <c r="K1840">
        <v>156523</v>
      </c>
    </row>
    <row r="1841" spans="1:12" x14ac:dyDescent="0.2">
      <c r="A1841" t="s">
        <v>48</v>
      </c>
      <c r="B1841" t="s">
        <v>72</v>
      </c>
      <c r="C1841" t="s">
        <v>197</v>
      </c>
      <c r="D1841">
        <v>176709.03</v>
      </c>
      <c r="E1841">
        <v>176709.03</v>
      </c>
      <c r="I1841">
        <v>151648.53</v>
      </c>
      <c r="J1841">
        <v>152481.03</v>
      </c>
    </row>
    <row r="1842" spans="1:12" x14ac:dyDescent="0.2">
      <c r="A1842" t="s">
        <v>48</v>
      </c>
      <c r="B1842" t="s">
        <v>72</v>
      </c>
      <c r="C1842" t="s">
        <v>198</v>
      </c>
      <c r="D1842">
        <v>178789.3</v>
      </c>
      <c r="I1842">
        <v>155367.79999999999</v>
      </c>
    </row>
    <row r="1843" spans="1:12" x14ac:dyDescent="0.2">
      <c r="A1843" t="s">
        <v>49</v>
      </c>
      <c r="B1843" t="s">
        <v>109</v>
      </c>
      <c r="C1843" t="s">
        <v>195</v>
      </c>
      <c r="D1843">
        <v>238246.69</v>
      </c>
      <c r="E1843">
        <v>239007.69</v>
      </c>
      <c r="F1843">
        <v>238807.69</v>
      </c>
      <c r="G1843">
        <v>238807.69</v>
      </c>
      <c r="I1843">
        <v>4923.01</v>
      </c>
      <c r="J1843">
        <v>14483.47</v>
      </c>
      <c r="K1843">
        <v>17306.46</v>
      </c>
      <c r="L1843">
        <v>20771.88</v>
      </c>
    </row>
    <row r="1844" spans="1:12" x14ac:dyDescent="0.2">
      <c r="A1844" t="s">
        <v>49</v>
      </c>
      <c r="B1844" t="s">
        <v>109</v>
      </c>
      <c r="C1844" t="s">
        <v>196</v>
      </c>
      <c r="D1844">
        <v>183138.01</v>
      </c>
      <c r="E1844">
        <v>182713.01</v>
      </c>
      <c r="F1844">
        <v>182223.01</v>
      </c>
      <c r="I1844">
        <v>5167.6000000000004</v>
      </c>
      <c r="J1844">
        <v>11512.76</v>
      </c>
      <c r="K1844">
        <v>15495.93</v>
      </c>
    </row>
    <row r="1845" spans="1:12" x14ac:dyDescent="0.2">
      <c r="A1845" t="s">
        <v>49</v>
      </c>
      <c r="B1845" t="s">
        <v>109</v>
      </c>
      <c r="C1845" t="s">
        <v>197</v>
      </c>
      <c r="D1845">
        <v>150077.41</v>
      </c>
      <c r="E1845">
        <v>148557.41</v>
      </c>
      <c r="I1845">
        <v>9336.19</v>
      </c>
      <c r="J1845">
        <v>18260.43</v>
      </c>
    </row>
    <row r="1846" spans="1:12" x14ac:dyDescent="0.2">
      <c r="A1846" t="s">
        <v>49</v>
      </c>
      <c r="B1846" t="s">
        <v>109</v>
      </c>
      <c r="C1846" t="s">
        <v>198</v>
      </c>
      <c r="D1846">
        <v>701098.8</v>
      </c>
      <c r="I1846">
        <v>2154.13</v>
      </c>
    </row>
    <row r="1847" spans="1:12" x14ac:dyDescent="0.2">
      <c r="A1847" t="s">
        <v>49</v>
      </c>
      <c r="B1847" t="s">
        <v>145</v>
      </c>
      <c r="C1847" t="s">
        <v>195</v>
      </c>
      <c r="D1847">
        <v>100000</v>
      </c>
      <c r="E1847">
        <v>100000</v>
      </c>
      <c r="F1847">
        <v>100000</v>
      </c>
      <c r="G1847">
        <v>100000</v>
      </c>
      <c r="I1847">
        <v>0</v>
      </c>
      <c r="J1847">
        <v>0</v>
      </c>
      <c r="K1847">
        <v>0</v>
      </c>
      <c r="L1847">
        <v>0</v>
      </c>
    </row>
    <row r="1848" spans="1:12" x14ac:dyDescent="0.2">
      <c r="A1848" t="s">
        <v>49</v>
      </c>
      <c r="B1848" t="s">
        <v>145</v>
      </c>
      <c r="C1848" t="s">
        <v>196</v>
      </c>
      <c r="D1848">
        <v>50000</v>
      </c>
      <c r="E1848">
        <v>50000</v>
      </c>
      <c r="F1848">
        <v>50000</v>
      </c>
      <c r="I1848">
        <v>0</v>
      </c>
      <c r="J1848">
        <v>0</v>
      </c>
      <c r="K1848">
        <v>0</v>
      </c>
    </row>
    <row r="1849" spans="1:12" x14ac:dyDescent="0.2">
      <c r="A1849" t="s">
        <v>49</v>
      </c>
      <c r="B1849" t="s">
        <v>145</v>
      </c>
      <c r="C1849" t="s">
        <v>197</v>
      </c>
      <c r="D1849">
        <v>0</v>
      </c>
      <c r="E1849">
        <v>0</v>
      </c>
      <c r="I1849">
        <v>0</v>
      </c>
      <c r="J1849">
        <v>0</v>
      </c>
    </row>
    <row r="1850" spans="1:12" x14ac:dyDescent="0.2">
      <c r="A1850" t="s">
        <v>49</v>
      </c>
      <c r="B1850" t="s">
        <v>145</v>
      </c>
      <c r="C1850" t="s">
        <v>198</v>
      </c>
      <c r="D1850">
        <v>600000</v>
      </c>
      <c r="I1850">
        <v>0</v>
      </c>
    </row>
    <row r="1851" spans="1:12" x14ac:dyDescent="0.2">
      <c r="A1851" t="s">
        <v>49</v>
      </c>
      <c r="B1851" t="s">
        <v>110</v>
      </c>
      <c r="C1851" t="s">
        <v>195</v>
      </c>
      <c r="D1851">
        <v>55655.5</v>
      </c>
      <c r="E1851">
        <v>55305.5</v>
      </c>
      <c r="F1851">
        <v>55155.5</v>
      </c>
      <c r="G1851">
        <v>54955.5</v>
      </c>
      <c r="I1851">
        <v>7075.25</v>
      </c>
      <c r="J1851">
        <v>14083.75</v>
      </c>
      <c r="K1851">
        <v>18220.25</v>
      </c>
      <c r="L1851">
        <v>19240.25</v>
      </c>
    </row>
    <row r="1852" spans="1:12" x14ac:dyDescent="0.2">
      <c r="A1852" t="s">
        <v>49</v>
      </c>
      <c r="B1852" t="s">
        <v>110</v>
      </c>
      <c r="C1852" t="s">
        <v>196</v>
      </c>
      <c r="D1852">
        <v>49657.5</v>
      </c>
      <c r="E1852">
        <v>49557.5</v>
      </c>
      <c r="F1852">
        <v>49557.5</v>
      </c>
      <c r="I1852">
        <v>8429</v>
      </c>
      <c r="J1852">
        <v>14678.5</v>
      </c>
      <c r="K1852">
        <v>19172</v>
      </c>
    </row>
    <row r="1853" spans="1:12" x14ac:dyDescent="0.2">
      <c r="A1853" t="s">
        <v>49</v>
      </c>
      <c r="B1853" t="s">
        <v>110</v>
      </c>
      <c r="C1853" t="s">
        <v>197</v>
      </c>
      <c r="D1853">
        <v>56560.25</v>
      </c>
      <c r="E1853">
        <v>54685.25</v>
      </c>
      <c r="I1853">
        <v>8430.75</v>
      </c>
      <c r="J1853">
        <v>12828.75</v>
      </c>
    </row>
    <row r="1854" spans="1:12" x14ac:dyDescent="0.2">
      <c r="A1854" t="s">
        <v>49</v>
      </c>
      <c r="B1854" t="s">
        <v>110</v>
      </c>
      <c r="C1854" t="s">
        <v>198</v>
      </c>
      <c r="D1854">
        <v>66912.75</v>
      </c>
      <c r="I1854">
        <v>5843.75</v>
      </c>
    </row>
    <row r="1855" spans="1:12" x14ac:dyDescent="0.2">
      <c r="A1855" t="s">
        <v>49</v>
      </c>
      <c r="B1855" t="s">
        <v>116</v>
      </c>
      <c r="C1855" t="s">
        <v>195</v>
      </c>
      <c r="D1855">
        <v>1400</v>
      </c>
      <c r="E1855">
        <v>1400</v>
      </c>
      <c r="F1855">
        <v>1400</v>
      </c>
      <c r="G1855">
        <v>1400</v>
      </c>
      <c r="I1855">
        <v>0</v>
      </c>
      <c r="J1855">
        <v>0</v>
      </c>
      <c r="K1855">
        <v>200</v>
      </c>
      <c r="L1855">
        <v>260</v>
      </c>
    </row>
    <row r="1856" spans="1:12" x14ac:dyDescent="0.2">
      <c r="A1856" t="s">
        <v>49</v>
      </c>
      <c r="B1856" t="s">
        <v>116</v>
      </c>
      <c r="C1856" t="s">
        <v>196</v>
      </c>
      <c r="D1856">
        <v>5505</v>
      </c>
      <c r="E1856">
        <v>5505</v>
      </c>
      <c r="F1856">
        <v>5505</v>
      </c>
      <c r="I1856">
        <v>8</v>
      </c>
      <c r="J1856">
        <v>15</v>
      </c>
      <c r="K1856">
        <v>15</v>
      </c>
    </row>
    <row r="1857" spans="1:12" x14ac:dyDescent="0.2">
      <c r="A1857" t="s">
        <v>49</v>
      </c>
      <c r="B1857" t="s">
        <v>116</v>
      </c>
      <c r="C1857" t="s">
        <v>197</v>
      </c>
      <c r="D1857">
        <v>5450</v>
      </c>
      <c r="E1857">
        <v>5620</v>
      </c>
      <c r="I1857">
        <v>40</v>
      </c>
      <c r="J1857">
        <v>642.6</v>
      </c>
    </row>
    <row r="1858" spans="1:12" x14ac:dyDescent="0.2">
      <c r="A1858" t="s">
        <v>49</v>
      </c>
      <c r="B1858" t="s">
        <v>116</v>
      </c>
      <c r="C1858" t="s">
        <v>198</v>
      </c>
      <c r="D1858">
        <v>5906</v>
      </c>
      <c r="I1858">
        <v>16</v>
      </c>
    </row>
    <row r="1859" spans="1:12" x14ac:dyDescent="0.2">
      <c r="A1859" t="s">
        <v>49</v>
      </c>
      <c r="B1859" t="s">
        <v>114</v>
      </c>
      <c r="C1859" t="s">
        <v>195</v>
      </c>
      <c r="D1859">
        <v>65211</v>
      </c>
      <c r="E1859">
        <v>65061</v>
      </c>
      <c r="F1859">
        <v>65111</v>
      </c>
      <c r="G1859">
        <v>65111</v>
      </c>
      <c r="I1859">
        <v>22711.5</v>
      </c>
      <c r="J1859">
        <v>36433.75</v>
      </c>
      <c r="K1859">
        <v>44637.25</v>
      </c>
      <c r="L1859">
        <v>45335.25</v>
      </c>
    </row>
    <row r="1860" spans="1:12" x14ac:dyDescent="0.2">
      <c r="A1860" t="s">
        <v>49</v>
      </c>
      <c r="B1860" t="s">
        <v>114</v>
      </c>
      <c r="C1860" t="s">
        <v>196</v>
      </c>
      <c r="D1860">
        <v>84592</v>
      </c>
      <c r="E1860">
        <v>84542</v>
      </c>
      <c r="F1860">
        <v>84742</v>
      </c>
      <c r="I1860">
        <v>36050</v>
      </c>
      <c r="J1860">
        <v>46333</v>
      </c>
      <c r="K1860">
        <v>55021.599999999999</v>
      </c>
    </row>
    <row r="1861" spans="1:12" x14ac:dyDescent="0.2">
      <c r="A1861" t="s">
        <v>49</v>
      </c>
      <c r="B1861" t="s">
        <v>114</v>
      </c>
      <c r="C1861" t="s">
        <v>197</v>
      </c>
      <c r="D1861">
        <v>82398</v>
      </c>
      <c r="E1861">
        <v>81698</v>
      </c>
      <c r="I1861">
        <v>32135.75</v>
      </c>
      <c r="J1861">
        <v>42591.5</v>
      </c>
    </row>
    <row r="1862" spans="1:12" x14ac:dyDescent="0.2">
      <c r="A1862" t="s">
        <v>49</v>
      </c>
      <c r="B1862" t="s">
        <v>114</v>
      </c>
      <c r="C1862" t="s">
        <v>198</v>
      </c>
      <c r="D1862">
        <v>79209.5</v>
      </c>
      <c r="I1862">
        <v>25550.75</v>
      </c>
    </row>
    <row r="1863" spans="1:12" x14ac:dyDescent="0.2">
      <c r="A1863" t="s">
        <v>49</v>
      </c>
      <c r="B1863" t="s">
        <v>111</v>
      </c>
      <c r="C1863" t="s">
        <v>195</v>
      </c>
      <c r="D1863">
        <v>50856</v>
      </c>
      <c r="E1863">
        <v>50686</v>
      </c>
      <c r="F1863">
        <v>50686</v>
      </c>
      <c r="G1863">
        <v>49726</v>
      </c>
      <c r="I1863">
        <v>48521</v>
      </c>
      <c r="J1863">
        <v>49491</v>
      </c>
      <c r="K1863">
        <v>49886</v>
      </c>
      <c r="L1863">
        <v>48926</v>
      </c>
    </row>
    <row r="1864" spans="1:12" x14ac:dyDescent="0.2">
      <c r="A1864" t="s">
        <v>49</v>
      </c>
      <c r="B1864" t="s">
        <v>111</v>
      </c>
      <c r="C1864" t="s">
        <v>196</v>
      </c>
      <c r="D1864">
        <v>53378</v>
      </c>
      <c r="E1864">
        <v>52058</v>
      </c>
      <c r="F1864">
        <v>52058</v>
      </c>
      <c r="I1864">
        <v>51078</v>
      </c>
      <c r="J1864">
        <v>51328</v>
      </c>
      <c r="K1864">
        <v>51528</v>
      </c>
    </row>
    <row r="1865" spans="1:12" x14ac:dyDescent="0.2">
      <c r="A1865" t="s">
        <v>49</v>
      </c>
      <c r="B1865" t="s">
        <v>111</v>
      </c>
      <c r="C1865" t="s">
        <v>197</v>
      </c>
      <c r="D1865">
        <v>45512</v>
      </c>
      <c r="E1865">
        <v>45512</v>
      </c>
      <c r="I1865">
        <v>40253</v>
      </c>
      <c r="J1865">
        <v>43503</v>
      </c>
    </row>
    <row r="1866" spans="1:12" x14ac:dyDescent="0.2">
      <c r="A1866" t="s">
        <v>49</v>
      </c>
      <c r="B1866" t="s">
        <v>111</v>
      </c>
      <c r="C1866" t="s">
        <v>198</v>
      </c>
      <c r="D1866">
        <v>46658</v>
      </c>
      <c r="I1866">
        <v>44669</v>
      </c>
    </row>
    <row r="1867" spans="1:12" x14ac:dyDescent="0.2">
      <c r="A1867" t="s">
        <v>49</v>
      </c>
      <c r="B1867" t="s">
        <v>112</v>
      </c>
      <c r="C1867" t="s">
        <v>195</v>
      </c>
      <c r="D1867">
        <v>29109.5</v>
      </c>
      <c r="E1867">
        <v>29109.5</v>
      </c>
      <c r="F1867">
        <v>29109.5</v>
      </c>
      <c r="G1867">
        <v>29109.5</v>
      </c>
      <c r="I1867">
        <v>28469.5</v>
      </c>
      <c r="J1867">
        <v>29099.5</v>
      </c>
      <c r="K1867">
        <v>29109.5</v>
      </c>
      <c r="L1867">
        <v>29109.5</v>
      </c>
    </row>
    <row r="1868" spans="1:12" x14ac:dyDescent="0.2">
      <c r="A1868" t="s">
        <v>49</v>
      </c>
      <c r="B1868" t="s">
        <v>112</v>
      </c>
      <c r="C1868" t="s">
        <v>196</v>
      </c>
      <c r="D1868">
        <v>24899</v>
      </c>
      <c r="E1868">
        <v>24899</v>
      </c>
      <c r="F1868">
        <v>24899</v>
      </c>
      <c r="I1868">
        <v>23824</v>
      </c>
      <c r="J1868">
        <v>24849</v>
      </c>
      <c r="K1868">
        <v>24849</v>
      </c>
    </row>
    <row r="1869" spans="1:12" x14ac:dyDescent="0.2">
      <c r="A1869" t="s">
        <v>49</v>
      </c>
      <c r="B1869" t="s">
        <v>112</v>
      </c>
      <c r="C1869" t="s">
        <v>197</v>
      </c>
      <c r="D1869">
        <v>26749</v>
      </c>
      <c r="E1869">
        <v>26749</v>
      </c>
      <c r="I1869">
        <v>26749</v>
      </c>
      <c r="J1869">
        <v>26749</v>
      </c>
    </row>
    <row r="1870" spans="1:12" x14ac:dyDescent="0.2">
      <c r="A1870" t="s">
        <v>49</v>
      </c>
      <c r="B1870" t="s">
        <v>112</v>
      </c>
      <c r="C1870" t="s">
        <v>198</v>
      </c>
      <c r="D1870">
        <v>25894.59</v>
      </c>
      <c r="I1870">
        <v>25689.59</v>
      </c>
    </row>
    <row r="1871" spans="1:12" x14ac:dyDescent="0.2">
      <c r="A1871" t="s">
        <v>49</v>
      </c>
      <c r="B1871" t="s">
        <v>115</v>
      </c>
      <c r="C1871" t="s">
        <v>195</v>
      </c>
      <c r="D1871">
        <v>106237.25</v>
      </c>
      <c r="E1871">
        <v>100743.75</v>
      </c>
      <c r="F1871">
        <v>100569.75</v>
      </c>
      <c r="G1871">
        <v>100421.85</v>
      </c>
      <c r="I1871">
        <v>50994.25</v>
      </c>
      <c r="J1871">
        <v>81617.75</v>
      </c>
      <c r="K1871">
        <v>85348.75</v>
      </c>
      <c r="L1871">
        <v>86441.85</v>
      </c>
    </row>
    <row r="1872" spans="1:12" x14ac:dyDescent="0.2">
      <c r="A1872" t="s">
        <v>49</v>
      </c>
      <c r="B1872" t="s">
        <v>115</v>
      </c>
      <c r="C1872" t="s">
        <v>196</v>
      </c>
      <c r="D1872">
        <v>118655.15</v>
      </c>
      <c r="E1872">
        <v>115217.9</v>
      </c>
      <c r="F1872">
        <v>115144.9</v>
      </c>
      <c r="I1872">
        <v>67115.149999999994</v>
      </c>
      <c r="J1872">
        <v>99383.4</v>
      </c>
      <c r="K1872">
        <v>102592.9</v>
      </c>
    </row>
    <row r="1873" spans="1:12" x14ac:dyDescent="0.2">
      <c r="A1873" t="s">
        <v>49</v>
      </c>
      <c r="B1873" t="s">
        <v>115</v>
      </c>
      <c r="C1873" t="s">
        <v>197</v>
      </c>
      <c r="D1873">
        <v>94334.75</v>
      </c>
      <c r="E1873">
        <v>91209.9</v>
      </c>
      <c r="I1873">
        <v>45033.25</v>
      </c>
      <c r="J1873">
        <v>70519.55</v>
      </c>
    </row>
    <row r="1874" spans="1:12" x14ac:dyDescent="0.2">
      <c r="A1874" t="s">
        <v>49</v>
      </c>
      <c r="B1874" t="s">
        <v>115</v>
      </c>
      <c r="C1874" t="s">
        <v>198</v>
      </c>
      <c r="D1874">
        <v>78140.5</v>
      </c>
      <c r="I1874">
        <v>37962.5</v>
      </c>
    </row>
    <row r="1875" spans="1:12" x14ac:dyDescent="0.2">
      <c r="A1875" t="s">
        <v>49</v>
      </c>
      <c r="B1875" t="s">
        <v>113</v>
      </c>
      <c r="C1875" t="s">
        <v>195</v>
      </c>
      <c r="D1875">
        <v>14182</v>
      </c>
      <c r="E1875">
        <v>14182</v>
      </c>
      <c r="F1875">
        <v>14182</v>
      </c>
      <c r="G1875">
        <v>14182</v>
      </c>
      <c r="I1875">
        <v>13837</v>
      </c>
      <c r="J1875">
        <v>14182</v>
      </c>
      <c r="K1875">
        <v>14182</v>
      </c>
      <c r="L1875">
        <v>14182</v>
      </c>
    </row>
    <row r="1876" spans="1:12" x14ac:dyDescent="0.2">
      <c r="A1876" t="s">
        <v>49</v>
      </c>
      <c r="B1876" t="s">
        <v>113</v>
      </c>
      <c r="C1876" t="s">
        <v>196</v>
      </c>
      <c r="D1876">
        <v>11762</v>
      </c>
      <c r="E1876">
        <v>11812</v>
      </c>
      <c r="F1876">
        <v>11812</v>
      </c>
      <c r="I1876">
        <v>11417</v>
      </c>
      <c r="J1876">
        <v>11812</v>
      </c>
      <c r="K1876">
        <v>11812</v>
      </c>
    </row>
    <row r="1877" spans="1:12" x14ac:dyDescent="0.2">
      <c r="A1877" t="s">
        <v>49</v>
      </c>
      <c r="B1877" t="s">
        <v>113</v>
      </c>
      <c r="C1877" t="s">
        <v>197</v>
      </c>
      <c r="D1877">
        <v>13716.5</v>
      </c>
      <c r="E1877">
        <v>13716.5</v>
      </c>
      <c r="I1877">
        <v>13716.5</v>
      </c>
      <c r="J1877">
        <v>13716.5</v>
      </c>
    </row>
    <row r="1878" spans="1:12" x14ac:dyDescent="0.2">
      <c r="A1878" t="s">
        <v>49</v>
      </c>
      <c r="B1878" t="s">
        <v>113</v>
      </c>
      <c r="C1878" t="s">
        <v>198</v>
      </c>
      <c r="D1878">
        <v>9332</v>
      </c>
      <c r="I1878">
        <v>8987</v>
      </c>
    </row>
    <row r="1879" spans="1:12" x14ac:dyDescent="0.2">
      <c r="A1879" t="s">
        <v>49</v>
      </c>
      <c r="B1879" t="s">
        <v>72</v>
      </c>
      <c r="C1879" t="s">
        <v>195</v>
      </c>
      <c r="D1879">
        <v>19873</v>
      </c>
      <c r="E1879">
        <v>19873</v>
      </c>
      <c r="F1879">
        <v>19873</v>
      </c>
      <c r="G1879">
        <v>19873</v>
      </c>
      <c r="I1879">
        <v>19428</v>
      </c>
      <c r="J1879">
        <v>19773</v>
      </c>
      <c r="K1879">
        <v>19773</v>
      </c>
      <c r="L1879">
        <v>19773</v>
      </c>
    </row>
    <row r="1880" spans="1:12" x14ac:dyDescent="0.2">
      <c r="A1880" t="s">
        <v>49</v>
      </c>
      <c r="B1880" t="s">
        <v>72</v>
      </c>
      <c r="C1880" t="s">
        <v>196</v>
      </c>
      <c r="D1880">
        <v>31043</v>
      </c>
      <c r="E1880">
        <v>31443</v>
      </c>
      <c r="F1880">
        <v>30743</v>
      </c>
      <c r="I1880">
        <v>30048</v>
      </c>
      <c r="J1880">
        <v>30048</v>
      </c>
      <c r="K1880">
        <v>30048</v>
      </c>
    </row>
    <row r="1881" spans="1:12" x14ac:dyDescent="0.2">
      <c r="A1881" t="s">
        <v>49</v>
      </c>
      <c r="B1881" t="s">
        <v>72</v>
      </c>
      <c r="C1881" t="s">
        <v>197</v>
      </c>
      <c r="D1881">
        <v>28046.5</v>
      </c>
      <c r="E1881">
        <v>28454.5</v>
      </c>
      <c r="I1881">
        <v>26745.5</v>
      </c>
      <c r="J1881">
        <v>27163.5</v>
      </c>
    </row>
    <row r="1882" spans="1:12" x14ac:dyDescent="0.2">
      <c r="A1882" t="s">
        <v>49</v>
      </c>
      <c r="B1882" t="s">
        <v>72</v>
      </c>
      <c r="C1882" t="s">
        <v>198</v>
      </c>
      <c r="D1882">
        <v>18523</v>
      </c>
      <c r="I1882">
        <v>16804</v>
      </c>
    </row>
    <row r="1883" spans="1:12" x14ac:dyDescent="0.2">
      <c r="A1883" t="s">
        <v>50</v>
      </c>
      <c r="B1883" t="s">
        <v>109</v>
      </c>
      <c r="C1883" t="s">
        <v>195</v>
      </c>
      <c r="D1883">
        <v>2366499</v>
      </c>
      <c r="E1883">
        <v>2304765</v>
      </c>
      <c r="F1883">
        <v>2246569</v>
      </c>
      <c r="G1883">
        <v>2238979</v>
      </c>
      <c r="I1883">
        <v>94286</v>
      </c>
      <c r="J1883">
        <v>171981</v>
      </c>
      <c r="K1883">
        <v>238056</v>
      </c>
      <c r="L1883">
        <v>279098</v>
      </c>
    </row>
    <row r="1884" spans="1:12" x14ac:dyDescent="0.2">
      <c r="A1884" t="s">
        <v>50</v>
      </c>
      <c r="B1884" t="s">
        <v>109</v>
      </c>
      <c r="C1884" t="s">
        <v>196</v>
      </c>
      <c r="D1884">
        <v>2567343</v>
      </c>
      <c r="E1884">
        <v>2533612</v>
      </c>
      <c r="F1884">
        <v>2522095</v>
      </c>
      <c r="I1884">
        <v>115589</v>
      </c>
      <c r="J1884">
        <v>205501</v>
      </c>
      <c r="K1884">
        <v>262419</v>
      </c>
    </row>
    <row r="1885" spans="1:12" x14ac:dyDescent="0.2">
      <c r="A1885" t="s">
        <v>50</v>
      </c>
      <c r="B1885" t="s">
        <v>109</v>
      </c>
      <c r="C1885" t="s">
        <v>197</v>
      </c>
      <c r="D1885">
        <v>4370586</v>
      </c>
      <c r="E1885">
        <v>4326980</v>
      </c>
      <c r="I1885">
        <v>115604</v>
      </c>
      <c r="J1885">
        <v>184773</v>
      </c>
    </row>
    <row r="1886" spans="1:12" x14ac:dyDescent="0.2">
      <c r="A1886" t="s">
        <v>50</v>
      </c>
      <c r="B1886" t="s">
        <v>109</v>
      </c>
      <c r="C1886" t="s">
        <v>198</v>
      </c>
      <c r="D1886">
        <v>3816191</v>
      </c>
      <c r="I1886">
        <v>105394</v>
      </c>
    </row>
    <row r="1887" spans="1:12" x14ac:dyDescent="0.2">
      <c r="A1887" t="s">
        <v>50</v>
      </c>
      <c r="B1887" t="s">
        <v>145</v>
      </c>
      <c r="C1887" t="s">
        <v>195</v>
      </c>
      <c r="D1887">
        <v>498734</v>
      </c>
      <c r="E1887">
        <v>496187</v>
      </c>
      <c r="F1887">
        <v>496062</v>
      </c>
      <c r="G1887">
        <v>496062</v>
      </c>
      <c r="I1887">
        <v>2268</v>
      </c>
      <c r="J1887">
        <v>3280</v>
      </c>
      <c r="K1887">
        <v>4147</v>
      </c>
      <c r="L1887">
        <v>4798</v>
      </c>
    </row>
    <row r="1888" spans="1:12" x14ac:dyDescent="0.2">
      <c r="A1888" t="s">
        <v>50</v>
      </c>
      <c r="B1888" t="s">
        <v>145</v>
      </c>
      <c r="C1888" t="s">
        <v>196</v>
      </c>
      <c r="D1888">
        <v>795373</v>
      </c>
      <c r="E1888">
        <v>794888</v>
      </c>
      <c r="F1888">
        <v>794628</v>
      </c>
      <c r="I1888">
        <v>2390</v>
      </c>
      <c r="J1888">
        <v>3993</v>
      </c>
      <c r="K1888">
        <v>4805</v>
      </c>
    </row>
    <row r="1889" spans="1:12" x14ac:dyDescent="0.2">
      <c r="A1889" t="s">
        <v>50</v>
      </c>
      <c r="B1889" t="s">
        <v>145</v>
      </c>
      <c r="C1889" t="s">
        <v>197</v>
      </c>
      <c r="D1889">
        <v>2388762</v>
      </c>
      <c r="E1889">
        <v>2388241</v>
      </c>
      <c r="I1889">
        <v>2802</v>
      </c>
      <c r="J1889">
        <v>3948</v>
      </c>
    </row>
    <row r="1890" spans="1:12" x14ac:dyDescent="0.2">
      <c r="A1890" t="s">
        <v>50</v>
      </c>
      <c r="B1890" t="s">
        <v>145</v>
      </c>
      <c r="C1890" t="s">
        <v>198</v>
      </c>
      <c r="D1890">
        <v>2093225</v>
      </c>
      <c r="I1890">
        <v>2607</v>
      </c>
    </row>
    <row r="1891" spans="1:12" x14ac:dyDescent="0.2">
      <c r="A1891" t="s">
        <v>50</v>
      </c>
      <c r="B1891" t="s">
        <v>110</v>
      </c>
      <c r="C1891" t="s">
        <v>195</v>
      </c>
      <c r="D1891">
        <v>920411</v>
      </c>
      <c r="E1891">
        <v>902459</v>
      </c>
      <c r="F1891">
        <v>900790</v>
      </c>
      <c r="G1891">
        <v>900286</v>
      </c>
      <c r="I1891">
        <v>136145</v>
      </c>
      <c r="J1891">
        <v>212899</v>
      </c>
      <c r="K1891">
        <v>267357</v>
      </c>
      <c r="L1891">
        <v>295986</v>
      </c>
    </row>
    <row r="1892" spans="1:12" x14ac:dyDescent="0.2">
      <c r="A1892" t="s">
        <v>50</v>
      </c>
      <c r="B1892" t="s">
        <v>110</v>
      </c>
      <c r="C1892" t="s">
        <v>196</v>
      </c>
      <c r="D1892">
        <v>1001925</v>
      </c>
      <c r="E1892">
        <v>987948</v>
      </c>
      <c r="F1892">
        <v>986173</v>
      </c>
      <c r="I1892">
        <v>147081</v>
      </c>
      <c r="J1892">
        <v>213561</v>
      </c>
      <c r="K1892">
        <v>258328</v>
      </c>
    </row>
    <row r="1893" spans="1:12" x14ac:dyDescent="0.2">
      <c r="A1893" t="s">
        <v>50</v>
      </c>
      <c r="B1893" t="s">
        <v>110</v>
      </c>
      <c r="C1893" t="s">
        <v>197</v>
      </c>
      <c r="D1893">
        <v>1035774</v>
      </c>
      <c r="E1893">
        <v>1015823</v>
      </c>
      <c r="I1893">
        <v>136426</v>
      </c>
      <c r="J1893">
        <v>206019</v>
      </c>
    </row>
    <row r="1894" spans="1:12" x14ac:dyDescent="0.2">
      <c r="A1894" t="s">
        <v>50</v>
      </c>
      <c r="B1894" t="s">
        <v>110</v>
      </c>
      <c r="C1894" t="s">
        <v>198</v>
      </c>
      <c r="D1894">
        <v>1001255</v>
      </c>
      <c r="I1894">
        <v>128528</v>
      </c>
    </row>
    <row r="1895" spans="1:12" x14ac:dyDescent="0.2">
      <c r="A1895" t="s">
        <v>50</v>
      </c>
      <c r="B1895" t="s">
        <v>116</v>
      </c>
      <c r="C1895" t="s">
        <v>195</v>
      </c>
      <c r="D1895">
        <v>171266</v>
      </c>
      <c r="E1895">
        <v>165363</v>
      </c>
      <c r="F1895">
        <v>153883</v>
      </c>
      <c r="G1895">
        <v>138084</v>
      </c>
      <c r="I1895">
        <v>2945</v>
      </c>
      <c r="J1895">
        <v>5079</v>
      </c>
      <c r="K1895">
        <v>6076</v>
      </c>
      <c r="L1895">
        <v>6639</v>
      </c>
    </row>
    <row r="1896" spans="1:12" x14ac:dyDescent="0.2">
      <c r="A1896" t="s">
        <v>50</v>
      </c>
      <c r="B1896" t="s">
        <v>116</v>
      </c>
      <c r="C1896" t="s">
        <v>196</v>
      </c>
      <c r="D1896">
        <v>200222</v>
      </c>
      <c r="E1896">
        <v>195912</v>
      </c>
      <c r="F1896">
        <v>185128</v>
      </c>
      <c r="I1896">
        <v>4447</v>
      </c>
      <c r="J1896">
        <v>7047</v>
      </c>
      <c r="K1896">
        <v>9231</v>
      </c>
    </row>
    <row r="1897" spans="1:12" x14ac:dyDescent="0.2">
      <c r="A1897" t="s">
        <v>50</v>
      </c>
      <c r="B1897" t="s">
        <v>116</v>
      </c>
      <c r="C1897" t="s">
        <v>197</v>
      </c>
      <c r="D1897">
        <v>184188</v>
      </c>
      <c r="E1897">
        <v>177600</v>
      </c>
      <c r="I1897">
        <v>3662</v>
      </c>
      <c r="J1897">
        <v>5663</v>
      </c>
    </row>
    <row r="1898" spans="1:12" x14ac:dyDescent="0.2">
      <c r="A1898" t="s">
        <v>50</v>
      </c>
      <c r="B1898" t="s">
        <v>116</v>
      </c>
      <c r="C1898" t="s">
        <v>198</v>
      </c>
      <c r="D1898">
        <v>166046</v>
      </c>
      <c r="I1898">
        <v>2709</v>
      </c>
    </row>
    <row r="1899" spans="1:12" x14ac:dyDescent="0.2">
      <c r="A1899" t="s">
        <v>50</v>
      </c>
      <c r="B1899" t="s">
        <v>114</v>
      </c>
      <c r="C1899" t="s">
        <v>195</v>
      </c>
      <c r="D1899">
        <v>1304831</v>
      </c>
      <c r="E1899">
        <v>1280244</v>
      </c>
      <c r="F1899">
        <v>1277379</v>
      </c>
      <c r="G1899">
        <v>1274776</v>
      </c>
      <c r="I1899">
        <v>296495</v>
      </c>
      <c r="J1899">
        <v>470017</v>
      </c>
      <c r="K1899">
        <v>569305</v>
      </c>
      <c r="L1899">
        <v>629189</v>
      </c>
    </row>
    <row r="1900" spans="1:12" x14ac:dyDescent="0.2">
      <c r="A1900" t="s">
        <v>50</v>
      </c>
      <c r="B1900" t="s">
        <v>114</v>
      </c>
      <c r="C1900" t="s">
        <v>196</v>
      </c>
      <c r="D1900">
        <v>1375904</v>
      </c>
      <c r="E1900">
        <v>1366903</v>
      </c>
      <c r="F1900">
        <v>1365002</v>
      </c>
      <c r="I1900">
        <v>302017</v>
      </c>
      <c r="J1900">
        <v>445697</v>
      </c>
      <c r="K1900">
        <v>528634</v>
      </c>
    </row>
    <row r="1901" spans="1:12" x14ac:dyDescent="0.2">
      <c r="A1901" t="s">
        <v>50</v>
      </c>
      <c r="B1901" t="s">
        <v>114</v>
      </c>
      <c r="C1901" t="s">
        <v>197</v>
      </c>
      <c r="D1901">
        <v>1279311</v>
      </c>
      <c r="E1901">
        <v>1267493</v>
      </c>
      <c r="I1901">
        <v>313914</v>
      </c>
      <c r="J1901">
        <v>465012</v>
      </c>
    </row>
    <row r="1902" spans="1:12" x14ac:dyDescent="0.2">
      <c r="A1902" t="s">
        <v>50</v>
      </c>
      <c r="B1902" t="s">
        <v>114</v>
      </c>
      <c r="C1902" t="s">
        <v>198</v>
      </c>
      <c r="D1902">
        <v>1202750</v>
      </c>
      <c r="I1902">
        <v>285974</v>
      </c>
    </row>
    <row r="1903" spans="1:12" x14ac:dyDescent="0.2">
      <c r="A1903" t="s">
        <v>50</v>
      </c>
      <c r="B1903" t="s">
        <v>111</v>
      </c>
      <c r="C1903" t="s">
        <v>195</v>
      </c>
      <c r="D1903">
        <v>2125411</v>
      </c>
      <c r="E1903">
        <v>2108870</v>
      </c>
      <c r="F1903">
        <v>2108800</v>
      </c>
      <c r="G1903">
        <v>2108660</v>
      </c>
      <c r="I1903">
        <v>2106863</v>
      </c>
      <c r="J1903">
        <v>2091813</v>
      </c>
      <c r="K1903">
        <v>2091867</v>
      </c>
      <c r="L1903">
        <v>2091727</v>
      </c>
    </row>
    <row r="1904" spans="1:12" x14ac:dyDescent="0.2">
      <c r="A1904" t="s">
        <v>50</v>
      </c>
      <c r="B1904" t="s">
        <v>111</v>
      </c>
      <c r="C1904" t="s">
        <v>196</v>
      </c>
      <c r="D1904">
        <v>2374412</v>
      </c>
      <c r="E1904">
        <v>2368974</v>
      </c>
      <c r="F1904">
        <v>2368565</v>
      </c>
      <c r="I1904">
        <v>2362583</v>
      </c>
      <c r="J1904">
        <v>2359347</v>
      </c>
      <c r="K1904">
        <v>2359338</v>
      </c>
    </row>
    <row r="1905" spans="1:12" x14ac:dyDescent="0.2">
      <c r="A1905" t="s">
        <v>50</v>
      </c>
      <c r="B1905" t="s">
        <v>111</v>
      </c>
      <c r="C1905" t="s">
        <v>197</v>
      </c>
      <c r="D1905">
        <v>2464333</v>
      </c>
      <c r="E1905">
        <v>2460640</v>
      </c>
      <c r="I1905">
        <v>2445877</v>
      </c>
      <c r="J1905">
        <v>2446193</v>
      </c>
    </row>
    <row r="1906" spans="1:12" x14ac:dyDescent="0.2">
      <c r="A1906" t="s">
        <v>50</v>
      </c>
      <c r="B1906" t="s">
        <v>111</v>
      </c>
      <c r="C1906" t="s">
        <v>198</v>
      </c>
      <c r="D1906">
        <v>2038846</v>
      </c>
      <c r="I1906">
        <v>2015939</v>
      </c>
    </row>
    <row r="1907" spans="1:12" x14ac:dyDescent="0.2">
      <c r="A1907" t="s">
        <v>50</v>
      </c>
      <c r="B1907" t="s">
        <v>112</v>
      </c>
      <c r="C1907" t="s">
        <v>195</v>
      </c>
      <c r="D1907">
        <v>1788267</v>
      </c>
      <c r="E1907">
        <v>1787465</v>
      </c>
      <c r="F1907">
        <v>1787465</v>
      </c>
      <c r="G1907">
        <v>1787465</v>
      </c>
      <c r="I1907">
        <v>1781778</v>
      </c>
      <c r="J1907">
        <v>1781350</v>
      </c>
      <c r="K1907">
        <v>1781350</v>
      </c>
      <c r="L1907">
        <v>1781350</v>
      </c>
    </row>
    <row r="1908" spans="1:12" x14ac:dyDescent="0.2">
      <c r="A1908" t="s">
        <v>50</v>
      </c>
      <c r="B1908" t="s">
        <v>112</v>
      </c>
      <c r="C1908" t="s">
        <v>196</v>
      </c>
      <c r="D1908">
        <v>1822386</v>
      </c>
      <c r="E1908">
        <v>1821646</v>
      </c>
      <c r="F1908">
        <v>1821646</v>
      </c>
      <c r="I1908">
        <v>1818607</v>
      </c>
      <c r="J1908">
        <v>1818368</v>
      </c>
      <c r="K1908">
        <v>1818226</v>
      </c>
    </row>
    <row r="1909" spans="1:12" x14ac:dyDescent="0.2">
      <c r="A1909" t="s">
        <v>50</v>
      </c>
      <c r="B1909" t="s">
        <v>112</v>
      </c>
      <c r="C1909" t="s">
        <v>197</v>
      </c>
      <c r="D1909">
        <v>2177109</v>
      </c>
      <c r="E1909">
        <v>2176419</v>
      </c>
      <c r="I1909">
        <v>2171580</v>
      </c>
      <c r="J1909">
        <v>2172435</v>
      </c>
    </row>
    <row r="1910" spans="1:12" x14ac:dyDescent="0.2">
      <c r="A1910" t="s">
        <v>50</v>
      </c>
      <c r="B1910" t="s">
        <v>112</v>
      </c>
      <c r="C1910" t="s">
        <v>198</v>
      </c>
      <c r="D1910">
        <v>2019796</v>
      </c>
      <c r="I1910">
        <v>2012822</v>
      </c>
    </row>
    <row r="1911" spans="1:12" x14ac:dyDescent="0.2">
      <c r="A1911" t="s">
        <v>50</v>
      </c>
      <c r="B1911" t="s">
        <v>115</v>
      </c>
      <c r="C1911" t="s">
        <v>195</v>
      </c>
      <c r="D1911">
        <v>11536262</v>
      </c>
      <c r="E1911">
        <v>10290185</v>
      </c>
      <c r="F1911">
        <v>10240377</v>
      </c>
      <c r="G1911">
        <v>10228333</v>
      </c>
      <c r="I1911">
        <v>3886766</v>
      </c>
      <c r="J1911">
        <v>6739059</v>
      </c>
      <c r="K1911">
        <v>7317868</v>
      </c>
      <c r="L1911">
        <v>7789594</v>
      </c>
    </row>
    <row r="1912" spans="1:12" x14ac:dyDescent="0.2">
      <c r="A1912" t="s">
        <v>50</v>
      </c>
      <c r="B1912" t="s">
        <v>115</v>
      </c>
      <c r="C1912" t="s">
        <v>196</v>
      </c>
      <c r="D1912">
        <v>11744038</v>
      </c>
      <c r="E1912">
        <v>10577511</v>
      </c>
      <c r="F1912">
        <v>10536191</v>
      </c>
      <c r="I1912">
        <v>4437976</v>
      </c>
      <c r="J1912">
        <v>6975350</v>
      </c>
      <c r="K1912">
        <v>7581987</v>
      </c>
    </row>
    <row r="1913" spans="1:12" x14ac:dyDescent="0.2">
      <c r="A1913" t="s">
        <v>50</v>
      </c>
      <c r="B1913" t="s">
        <v>115</v>
      </c>
      <c r="C1913" t="s">
        <v>197</v>
      </c>
      <c r="D1913">
        <v>12579919</v>
      </c>
      <c r="E1913">
        <v>11488530</v>
      </c>
      <c r="I1913">
        <v>4147682</v>
      </c>
      <c r="J1913">
        <v>6717493</v>
      </c>
    </row>
    <row r="1914" spans="1:12" x14ac:dyDescent="0.2">
      <c r="A1914" t="s">
        <v>50</v>
      </c>
      <c r="B1914" t="s">
        <v>115</v>
      </c>
      <c r="C1914" t="s">
        <v>198</v>
      </c>
      <c r="D1914">
        <v>14400020</v>
      </c>
      <c r="I1914">
        <v>4445857</v>
      </c>
    </row>
    <row r="1915" spans="1:12" x14ac:dyDescent="0.2">
      <c r="A1915" t="s">
        <v>50</v>
      </c>
      <c r="B1915" t="s">
        <v>113</v>
      </c>
      <c r="C1915" t="s">
        <v>195</v>
      </c>
      <c r="D1915">
        <v>225203</v>
      </c>
      <c r="E1915">
        <v>223686</v>
      </c>
      <c r="F1915">
        <v>223686</v>
      </c>
      <c r="G1915">
        <v>223686</v>
      </c>
      <c r="I1915">
        <v>222449</v>
      </c>
      <c r="J1915">
        <v>222539</v>
      </c>
      <c r="K1915">
        <v>222539</v>
      </c>
      <c r="L1915">
        <v>222539</v>
      </c>
    </row>
    <row r="1916" spans="1:12" x14ac:dyDescent="0.2">
      <c r="A1916" t="s">
        <v>50</v>
      </c>
      <c r="B1916" t="s">
        <v>113</v>
      </c>
      <c r="C1916" t="s">
        <v>196</v>
      </c>
      <c r="D1916">
        <v>265065</v>
      </c>
      <c r="E1916">
        <v>264810</v>
      </c>
      <c r="F1916">
        <v>264810</v>
      </c>
      <c r="I1916">
        <v>263431</v>
      </c>
      <c r="J1916">
        <v>263823</v>
      </c>
      <c r="K1916">
        <v>263823</v>
      </c>
    </row>
    <row r="1917" spans="1:12" x14ac:dyDescent="0.2">
      <c r="A1917" t="s">
        <v>50</v>
      </c>
      <c r="B1917" t="s">
        <v>113</v>
      </c>
      <c r="C1917" t="s">
        <v>197</v>
      </c>
      <c r="D1917">
        <v>297624</v>
      </c>
      <c r="E1917">
        <v>296688</v>
      </c>
      <c r="I1917">
        <v>293474</v>
      </c>
      <c r="J1917">
        <v>294009</v>
      </c>
    </row>
    <row r="1918" spans="1:12" x14ac:dyDescent="0.2">
      <c r="A1918" t="s">
        <v>50</v>
      </c>
      <c r="B1918" t="s">
        <v>113</v>
      </c>
      <c r="C1918" t="s">
        <v>198</v>
      </c>
      <c r="D1918">
        <v>260410</v>
      </c>
      <c r="I1918">
        <v>256726</v>
      </c>
    </row>
    <row r="1919" spans="1:12" x14ac:dyDescent="0.2">
      <c r="A1919" t="s">
        <v>50</v>
      </c>
      <c r="B1919" t="s">
        <v>72</v>
      </c>
      <c r="C1919" t="s">
        <v>195</v>
      </c>
      <c r="D1919">
        <v>557028</v>
      </c>
      <c r="E1919">
        <v>548716</v>
      </c>
      <c r="F1919">
        <v>546491</v>
      </c>
      <c r="G1919">
        <v>545253</v>
      </c>
      <c r="I1919">
        <v>507528</v>
      </c>
      <c r="J1919">
        <v>514289</v>
      </c>
      <c r="K1919">
        <v>516192</v>
      </c>
      <c r="L1919">
        <v>516937</v>
      </c>
    </row>
    <row r="1920" spans="1:12" x14ac:dyDescent="0.2">
      <c r="A1920" t="s">
        <v>50</v>
      </c>
      <c r="B1920" t="s">
        <v>72</v>
      </c>
      <c r="C1920" t="s">
        <v>196</v>
      </c>
      <c r="D1920">
        <v>656103</v>
      </c>
      <c r="E1920">
        <v>650143</v>
      </c>
      <c r="F1920">
        <v>646389</v>
      </c>
      <c r="I1920">
        <v>604743</v>
      </c>
      <c r="J1920">
        <v>618400</v>
      </c>
      <c r="K1920">
        <v>619449</v>
      </c>
    </row>
    <row r="1921" spans="1:12" x14ac:dyDescent="0.2">
      <c r="A1921" t="s">
        <v>50</v>
      </c>
      <c r="B1921" t="s">
        <v>72</v>
      </c>
      <c r="C1921" t="s">
        <v>197</v>
      </c>
      <c r="D1921">
        <v>614388</v>
      </c>
      <c r="E1921">
        <v>609958</v>
      </c>
      <c r="I1921">
        <v>579983</v>
      </c>
      <c r="J1921">
        <v>584387</v>
      </c>
    </row>
    <row r="1922" spans="1:12" x14ac:dyDescent="0.2">
      <c r="A1922" t="s">
        <v>50</v>
      </c>
      <c r="B1922" t="s">
        <v>72</v>
      </c>
      <c r="C1922" t="s">
        <v>198</v>
      </c>
      <c r="D1922">
        <v>530251</v>
      </c>
      <c r="I1922">
        <v>494815</v>
      </c>
    </row>
    <row r="1923" spans="1:12" x14ac:dyDescent="0.2">
      <c r="A1923" t="s">
        <v>51</v>
      </c>
      <c r="B1923" t="s">
        <v>109</v>
      </c>
      <c r="C1923" t="s">
        <v>195</v>
      </c>
      <c r="D1923">
        <v>1988046.43</v>
      </c>
      <c r="E1923">
        <v>1983240.78</v>
      </c>
      <c r="F1923">
        <v>1981923.25</v>
      </c>
      <c r="G1923">
        <v>1980124.02</v>
      </c>
      <c r="I1923">
        <v>304751.57</v>
      </c>
      <c r="J1923">
        <v>334617.28000000003</v>
      </c>
      <c r="K1923">
        <v>359568.23</v>
      </c>
      <c r="L1923">
        <v>377134.86</v>
      </c>
    </row>
    <row r="1924" spans="1:12" x14ac:dyDescent="0.2">
      <c r="A1924" t="s">
        <v>51</v>
      </c>
      <c r="B1924" t="s">
        <v>109</v>
      </c>
      <c r="C1924" t="s">
        <v>196</v>
      </c>
      <c r="D1924">
        <v>2816685.44</v>
      </c>
      <c r="E1924">
        <v>2811716.44</v>
      </c>
      <c r="F1924">
        <v>2810016.44</v>
      </c>
      <c r="I1924">
        <v>272764.49</v>
      </c>
      <c r="J1924">
        <v>294963.12</v>
      </c>
      <c r="K1924">
        <v>310926.39</v>
      </c>
    </row>
    <row r="1925" spans="1:12" x14ac:dyDescent="0.2">
      <c r="A1925" t="s">
        <v>51</v>
      </c>
      <c r="B1925" t="s">
        <v>109</v>
      </c>
      <c r="C1925" t="s">
        <v>197</v>
      </c>
      <c r="D1925">
        <v>1556446.84</v>
      </c>
      <c r="E1925">
        <v>1549239.86</v>
      </c>
      <c r="I1925">
        <v>115874.24000000001</v>
      </c>
      <c r="J1925">
        <v>130175.73</v>
      </c>
    </row>
    <row r="1926" spans="1:12" x14ac:dyDescent="0.2">
      <c r="A1926" t="s">
        <v>51</v>
      </c>
      <c r="B1926" t="s">
        <v>109</v>
      </c>
      <c r="C1926" t="s">
        <v>198</v>
      </c>
      <c r="D1926">
        <v>2208305.5</v>
      </c>
      <c r="I1926">
        <v>103794.73</v>
      </c>
    </row>
    <row r="1927" spans="1:12" x14ac:dyDescent="0.2">
      <c r="A1927" t="s">
        <v>51</v>
      </c>
      <c r="B1927" t="s">
        <v>145</v>
      </c>
      <c r="C1927" t="s">
        <v>195</v>
      </c>
      <c r="D1927">
        <v>905201.49</v>
      </c>
      <c r="E1927">
        <v>905201.49</v>
      </c>
      <c r="F1927">
        <v>905236.49</v>
      </c>
      <c r="I1927">
        <v>102214.75</v>
      </c>
      <c r="J1927">
        <v>102230.93</v>
      </c>
      <c r="K1927">
        <v>102327.07</v>
      </c>
    </row>
    <row r="1928" spans="1:12" x14ac:dyDescent="0.2">
      <c r="A1928" t="s">
        <v>51</v>
      </c>
      <c r="B1928" t="s">
        <v>145</v>
      </c>
      <c r="C1928" t="s">
        <v>196</v>
      </c>
      <c r="D1928">
        <v>1764327.55</v>
      </c>
      <c r="E1928">
        <v>1763912.55</v>
      </c>
      <c r="I1928">
        <v>101307.84</v>
      </c>
      <c r="J1928">
        <v>101292.84</v>
      </c>
    </row>
    <row r="1929" spans="1:12" x14ac:dyDescent="0.2">
      <c r="A1929" t="s">
        <v>51</v>
      </c>
      <c r="B1929" t="s">
        <v>145</v>
      </c>
      <c r="C1929" t="s">
        <v>197</v>
      </c>
      <c r="D1929">
        <v>813971.46</v>
      </c>
      <c r="I1929">
        <v>519.51</v>
      </c>
    </row>
    <row r="1930" spans="1:12" x14ac:dyDescent="0.2">
      <c r="A1930" t="s">
        <v>51</v>
      </c>
      <c r="B1930" t="s">
        <v>145</v>
      </c>
      <c r="C1930" t="s">
        <v>198</v>
      </c>
    </row>
    <row r="1931" spans="1:12" x14ac:dyDescent="0.2">
      <c r="A1931" t="s">
        <v>51</v>
      </c>
      <c r="B1931" t="s">
        <v>110</v>
      </c>
      <c r="C1931" t="s">
        <v>195</v>
      </c>
      <c r="D1931">
        <v>264392.55</v>
      </c>
      <c r="E1931">
        <v>255854.05</v>
      </c>
      <c r="F1931">
        <v>254503.55</v>
      </c>
      <c r="G1931">
        <v>251386.3</v>
      </c>
      <c r="I1931">
        <v>50557.15</v>
      </c>
      <c r="J1931">
        <v>82257.97</v>
      </c>
      <c r="K1931">
        <v>106912.16</v>
      </c>
      <c r="L1931">
        <v>122271.93</v>
      </c>
    </row>
    <row r="1932" spans="1:12" x14ac:dyDescent="0.2">
      <c r="A1932" t="s">
        <v>51</v>
      </c>
      <c r="B1932" t="s">
        <v>110</v>
      </c>
      <c r="C1932" t="s">
        <v>196</v>
      </c>
      <c r="D1932">
        <v>270567.03999999998</v>
      </c>
      <c r="E1932">
        <v>264230.53999999998</v>
      </c>
      <c r="F1932">
        <v>262056.59</v>
      </c>
      <c r="I1932">
        <v>57013.4</v>
      </c>
      <c r="J1932">
        <v>86489.2</v>
      </c>
      <c r="K1932">
        <v>112446.69</v>
      </c>
    </row>
    <row r="1933" spans="1:12" x14ac:dyDescent="0.2">
      <c r="A1933" t="s">
        <v>51</v>
      </c>
      <c r="B1933" t="s">
        <v>110</v>
      </c>
      <c r="C1933" t="s">
        <v>197</v>
      </c>
      <c r="D1933">
        <v>260252.27</v>
      </c>
      <c r="E1933">
        <v>252678.02</v>
      </c>
      <c r="I1933">
        <v>51007.99</v>
      </c>
      <c r="J1933">
        <v>77396.3</v>
      </c>
    </row>
    <row r="1934" spans="1:12" x14ac:dyDescent="0.2">
      <c r="A1934" t="s">
        <v>51</v>
      </c>
      <c r="B1934" t="s">
        <v>110</v>
      </c>
      <c r="C1934" t="s">
        <v>198</v>
      </c>
      <c r="D1934">
        <v>291111.33</v>
      </c>
      <c r="I1934">
        <v>51093.8</v>
      </c>
    </row>
    <row r="1935" spans="1:12" x14ac:dyDescent="0.2">
      <c r="A1935" t="s">
        <v>51</v>
      </c>
      <c r="B1935" t="s">
        <v>116</v>
      </c>
      <c r="C1935" t="s">
        <v>195</v>
      </c>
      <c r="D1935">
        <v>27362.81</v>
      </c>
      <c r="E1935">
        <v>26613.25</v>
      </c>
      <c r="F1935">
        <v>26313.25</v>
      </c>
      <c r="G1935">
        <v>25867.25</v>
      </c>
      <c r="I1935">
        <v>474</v>
      </c>
      <c r="J1935">
        <v>629</v>
      </c>
      <c r="K1935">
        <v>689</v>
      </c>
      <c r="L1935">
        <v>824</v>
      </c>
    </row>
    <row r="1936" spans="1:12" x14ac:dyDescent="0.2">
      <c r="A1936" t="s">
        <v>51</v>
      </c>
      <c r="B1936" t="s">
        <v>116</v>
      </c>
      <c r="C1936" t="s">
        <v>196</v>
      </c>
      <c r="D1936">
        <v>35654.160000000003</v>
      </c>
      <c r="E1936">
        <v>35404.160000000003</v>
      </c>
      <c r="F1936">
        <v>33954.160000000003</v>
      </c>
      <c r="I1936">
        <v>731</v>
      </c>
      <c r="J1936">
        <v>1328</v>
      </c>
      <c r="K1936">
        <v>1624</v>
      </c>
    </row>
    <row r="1937" spans="1:12" x14ac:dyDescent="0.2">
      <c r="A1937" t="s">
        <v>51</v>
      </c>
      <c r="B1937" t="s">
        <v>116</v>
      </c>
      <c r="C1937" t="s">
        <v>197</v>
      </c>
      <c r="D1937">
        <v>35039.74</v>
      </c>
      <c r="E1937">
        <v>34016.239999999998</v>
      </c>
      <c r="I1937">
        <v>332</v>
      </c>
      <c r="J1937">
        <v>612</v>
      </c>
    </row>
    <row r="1938" spans="1:12" x14ac:dyDescent="0.2">
      <c r="A1938" t="s">
        <v>51</v>
      </c>
      <c r="B1938" t="s">
        <v>116</v>
      </c>
      <c r="C1938" t="s">
        <v>198</v>
      </c>
      <c r="D1938">
        <v>47884.32</v>
      </c>
      <c r="I1938">
        <v>528.87</v>
      </c>
    </row>
    <row r="1939" spans="1:12" x14ac:dyDescent="0.2">
      <c r="A1939" t="s">
        <v>51</v>
      </c>
      <c r="B1939" t="s">
        <v>114</v>
      </c>
      <c r="C1939" t="s">
        <v>195</v>
      </c>
      <c r="D1939">
        <v>394592.55</v>
      </c>
      <c r="E1939">
        <v>392542.05</v>
      </c>
      <c r="F1939">
        <v>390972.95</v>
      </c>
      <c r="G1939">
        <v>390091.45</v>
      </c>
      <c r="I1939">
        <v>116881.22</v>
      </c>
      <c r="J1939">
        <v>185032.24</v>
      </c>
      <c r="K1939">
        <v>229621.27</v>
      </c>
      <c r="L1939">
        <v>257057.3</v>
      </c>
    </row>
    <row r="1940" spans="1:12" x14ac:dyDescent="0.2">
      <c r="A1940" t="s">
        <v>51</v>
      </c>
      <c r="B1940" t="s">
        <v>114</v>
      </c>
      <c r="C1940" t="s">
        <v>196</v>
      </c>
      <c r="D1940">
        <v>374238.38</v>
      </c>
      <c r="E1940">
        <v>372334.88</v>
      </c>
      <c r="F1940">
        <v>371958.97</v>
      </c>
      <c r="I1940">
        <v>125916.89</v>
      </c>
      <c r="J1940">
        <v>182525.14</v>
      </c>
      <c r="K1940">
        <v>213474.59</v>
      </c>
    </row>
    <row r="1941" spans="1:12" x14ac:dyDescent="0.2">
      <c r="A1941" t="s">
        <v>51</v>
      </c>
      <c r="B1941" t="s">
        <v>114</v>
      </c>
      <c r="C1941" t="s">
        <v>197</v>
      </c>
      <c r="D1941">
        <v>376769.81</v>
      </c>
      <c r="E1941">
        <v>376069.81</v>
      </c>
      <c r="I1941">
        <v>145831.84</v>
      </c>
      <c r="J1941">
        <v>192369.85</v>
      </c>
    </row>
    <row r="1942" spans="1:12" x14ac:dyDescent="0.2">
      <c r="A1942" t="s">
        <v>51</v>
      </c>
      <c r="B1942" t="s">
        <v>114</v>
      </c>
      <c r="C1942" t="s">
        <v>198</v>
      </c>
      <c r="D1942">
        <v>384813.51</v>
      </c>
      <c r="I1942">
        <v>119773.14</v>
      </c>
    </row>
    <row r="1943" spans="1:12" x14ac:dyDescent="0.2">
      <c r="A1943" t="s">
        <v>51</v>
      </c>
      <c r="B1943" t="s">
        <v>111</v>
      </c>
      <c r="C1943" t="s">
        <v>195</v>
      </c>
      <c r="D1943">
        <v>535822.75</v>
      </c>
      <c r="E1943">
        <v>532725.25</v>
      </c>
      <c r="F1943">
        <v>532617.25</v>
      </c>
      <c r="G1943">
        <v>529407.25</v>
      </c>
      <c r="I1943">
        <v>515158.75</v>
      </c>
      <c r="J1943">
        <v>522181.75</v>
      </c>
      <c r="K1943">
        <v>522181.75</v>
      </c>
      <c r="L1943">
        <v>520881.75</v>
      </c>
    </row>
    <row r="1944" spans="1:12" x14ac:dyDescent="0.2">
      <c r="A1944" t="s">
        <v>51</v>
      </c>
      <c r="B1944" t="s">
        <v>111</v>
      </c>
      <c r="C1944" t="s">
        <v>196</v>
      </c>
      <c r="D1944">
        <v>645213</v>
      </c>
      <c r="E1944">
        <v>644987.1</v>
      </c>
      <c r="F1944">
        <v>643682.1</v>
      </c>
      <c r="I1944">
        <v>619224.75</v>
      </c>
      <c r="J1944">
        <v>636083.75</v>
      </c>
      <c r="K1944">
        <v>635178.75</v>
      </c>
    </row>
    <row r="1945" spans="1:12" x14ac:dyDescent="0.2">
      <c r="A1945" t="s">
        <v>51</v>
      </c>
      <c r="B1945" t="s">
        <v>111</v>
      </c>
      <c r="C1945" t="s">
        <v>197</v>
      </c>
      <c r="D1945">
        <v>695681.34</v>
      </c>
      <c r="E1945">
        <v>687809.84</v>
      </c>
      <c r="I1945">
        <v>669856.5</v>
      </c>
      <c r="J1945">
        <v>679796</v>
      </c>
    </row>
    <row r="1946" spans="1:12" x14ac:dyDescent="0.2">
      <c r="A1946" t="s">
        <v>51</v>
      </c>
      <c r="B1946" t="s">
        <v>111</v>
      </c>
      <c r="C1946" t="s">
        <v>198</v>
      </c>
      <c r="D1946">
        <v>567986.39</v>
      </c>
      <c r="I1946">
        <v>549128.51</v>
      </c>
    </row>
    <row r="1947" spans="1:12" x14ac:dyDescent="0.2">
      <c r="A1947" t="s">
        <v>51</v>
      </c>
      <c r="B1947" t="s">
        <v>112</v>
      </c>
      <c r="C1947" t="s">
        <v>195</v>
      </c>
      <c r="D1947">
        <v>337204.22</v>
      </c>
      <c r="E1947">
        <v>336713.22</v>
      </c>
      <c r="F1947">
        <v>336713.22</v>
      </c>
      <c r="G1947">
        <v>336713.22</v>
      </c>
      <c r="I1947">
        <v>316819.89</v>
      </c>
      <c r="J1947">
        <v>332487.65000000002</v>
      </c>
      <c r="K1947">
        <v>332501.09000000003</v>
      </c>
      <c r="L1947">
        <v>332501.09000000003</v>
      </c>
    </row>
    <row r="1948" spans="1:12" x14ac:dyDescent="0.2">
      <c r="A1948" t="s">
        <v>51</v>
      </c>
      <c r="B1948" t="s">
        <v>112</v>
      </c>
      <c r="C1948" t="s">
        <v>196</v>
      </c>
      <c r="D1948">
        <v>436408.98</v>
      </c>
      <c r="E1948">
        <v>436408.98</v>
      </c>
      <c r="F1948">
        <v>436408.98</v>
      </c>
      <c r="I1948">
        <v>415500.71</v>
      </c>
      <c r="J1948">
        <v>429827.93</v>
      </c>
      <c r="K1948">
        <v>429932.93</v>
      </c>
    </row>
    <row r="1949" spans="1:12" x14ac:dyDescent="0.2">
      <c r="A1949" t="s">
        <v>51</v>
      </c>
      <c r="B1949" t="s">
        <v>112</v>
      </c>
      <c r="C1949" t="s">
        <v>197</v>
      </c>
      <c r="D1949">
        <v>485632.42</v>
      </c>
      <c r="E1949">
        <v>484772.71</v>
      </c>
      <c r="I1949">
        <v>478633.61</v>
      </c>
      <c r="J1949">
        <v>483082.95</v>
      </c>
    </row>
    <row r="1950" spans="1:12" x14ac:dyDescent="0.2">
      <c r="A1950" t="s">
        <v>51</v>
      </c>
      <c r="B1950" t="s">
        <v>112</v>
      </c>
      <c r="C1950" t="s">
        <v>198</v>
      </c>
      <c r="D1950">
        <v>459982.27</v>
      </c>
      <c r="I1950">
        <v>451190.64</v>
      </c>
    </row>
    <row r="1951" spans="1:12" x14ac:dyDescent="0.2">
      <c r="A1951" t="s">
        <v>51</v>
      </c>
      <c r="B1951" t="s">
        <v>115</v>
      </c>
      <c r="C1951" t="s">
        <v>195</v>
      </c>
      <c r="D1951">
        <v>2194424.6800000002</v>
      </c>
      <c r="E1951">
        <v>2344183.2000000002</v>
      </c>
      <c r="F1951">
        <v>2339606.4</v>
      </c>
      <c r="G1951">
        <v>2338851.4</v>
      </c>
      <c r="I1951">
        <v>831665.27</v>
      </c>
      <c r="J1951">
        <v>1555295.41</v>
      </c>
      <c r="K1951">
        <v>1901419.77</v>
      </c>
      <c r="L1951">
        <v>2002996.91</v>
      </c>
    </row>
    <row r="1952" spans="1:12" x14ac:dyDescent="0.2">
      <c r="A1952" t="s">
        <v>51</v>
      </c>
      <c r="B1952" t="s">
        <v>115</v>
      </c>
      <c r="C1952" t="s">
        <v>196</v>
      </c>
      <c r="D1952">
        <v>2406272.2999999998</v>
      </c>
      <c r="E1952">
        <v>2476307.12</v>
      </c>
      <c r="F1952">
        <v>2531881.52</v>
      </c>
      <c r="I1952">
        <v>956796.19</v>
      </c>
      <c r="J1952">
        <v>1691624.76</v>
      </c>
      <c r="K1952">
        <v>2007029.84</v>
      </c>
    </row>
    <row r="1953" spans="1:12" x14ac:dyDescent="0.2">
      <c r="A1953" t="s">
        <v>51</v>
      </c>
      <c r="B1953" t="s">
        <v>115</v>
      </c>
      <c r="C1953" t="s">
        <v>197</v>
      </c>
      <c r="D1953">
        <v>2362813.12</v>
      </c>
      <c r="E1953">
        <v>2541980.04</v>
      </c>
      <c r="I1953">
        <v>928218.01</v>
      </c>
      <c r="J1953">
        <v>1582818.95</v>
      </c>
    </row>
    <row r="1954" spans="1:12" x14ac:dyDescent="0.2">
      <c r="A1954" t="s">
        <v>51</v>
      </c>
      <c r="B1954" t="s">
        <v>115</v>
      </c>
      <c r="C1954" t="s">
        <v>198</v>
      </c>
      <c r="D1954">
        <v>2163027.7599999998</v>
      </c>
      <c r="I1954">
        <v>831343.08</v>
      </c>
    </row>
    <row r="1955" spans="1:12" x14ac:dyDescent="0.2">
      <c r="A1955" t="s">
        <v>51</v>
      </c>
      <c r="B1955" t="s">
        <v>113</v>
      </c>
      <c r="C1955" t="s">
        <v>195</v>
      </c>
      <c r="D1955">
        <v>65081.55</v>
      </c>
      <c r="E1955">
        <v>64844.55</v>
      </c>
      <c r="F1955">
        <v>64499.55</v>
      </c>
      <c r="G1955">
        <v>64154.55</v>
      </c>
      <c r="I1955">
        <v>63336.3</v>
      </c>
      <c r="J1955">
        <v>64257.3</v>
      </c>
      <c r="K1955">
        <v>63912.3</v>
      </c>
      <c r="L1955">
        <v>63567.3</v>
      </c>
    </row>
    <row r="1956" spans="1:12" x14ac:dyDescent="0.2">
      <c r="A1956" t="s">
        <v>51</v>
      </c>
      <c r="B1956" t="s">
        <v>113</v>
      </c>
      <c r="C1956" t="s">
        <v>196</v>
      </c>
      <c r="D1956">
        <v>72485.7</v>
      </c>
      <c r="E1956">
        <v>72250.7</v>
      </c>
      <c r="F1956">
        <v>72014.7</v>
      </c>
      <c r="I1956">
        <v>68822.7</v>
      </c>
      <c r="J1956">
        <v>71786.7</v>
      </c>
      <c r="K1956">
        <v>71786.7</v>
      </c>
    </row>
    <row r="1957" spans="1:12" x14ac:dyDescent="0.2">
      <c r="A1957" t="s">
        <v>51</v>
      </c>
      <c r="B1957" t="s">
        <v>113</v>
      </c>
      <c r="C1957" t="s">
        <v>197</v>
      </c>
      <c r="D1957">
        <v>74445.7</v>
      </c>
      <c r="E1957">
        <v>73630.7</v>
      </c>
      <c r="I1957">
        <v>72349.7</v>
      </c>
      <c r="J1957">
        <v>73614.7</v>
      </c>
    </row>
    <row r="1958" spans="1:12" x14ac:dyDescent="0.2">
      <c r="A1958" t="s">
        <v>51</v>
      </c>
      <c r="B1958" t="s">
        <v>113</v>
      </c>
      <c r="C1958" t="s">
        <v>198</v>
      </c>
      <c r="D1958">
        <v>71296.61</v>
      </c>
      <c r="I1958">
        <v>69721.61</v>
      </c>
    </row>
    <row r="1959" spans="1:12" x14ac:dyDescent="0.2">
      <c r="A1959" t="s">
        <v>51</v>
      </c>
      <c r="B1959" t="s">
        <v>72</v>
      </c>
      <c r="C1959" t="s">
        <v>195</v>
      </c>
      <c r="D1959">
        <v>160082.85</v>
      </c>
      <c r="E1959">
        <v>159075.35</v>
      </c>
      <c r="F1959">
        <v>159275.35</v>
      </c>
      <c r="G1959">
        <v>159275.35</v>
      </c>
      <c r="I1959">
        <v>139846.35</v>
      </c>
      <c r="J1959">
        <v>145173.76999999999</v>
      </c>
      <c r="K1959">
        <v>146895.26999999999</v>
      </c>
      <c r="L1959">
        <v>147346.26999999999</v>
      </c>
    </row>
    <row r="1960" spans="1:12" x14ac:dyDescent="0.2">
      <c r="A1960" t="s">
        <v>51</v>
      </c>
      <c r="B1960" t="s">
        <v>72</v>
      </c>
      <c r="C1960" t="s">
        <v>196</v>
      </c>
      <c r="D1960">
        <v>451418.46</v>
      </c>
      <c r="E1960">
        <v>449099.96</v>
      </c>
      <c r="F1960">
        <v>449078.96</v>
      </c>
      <c r="I1960">
        <v>177964.43</v>
      </c>
      <c r="J1960">
        <v>183586.43</v>
      </c>
      <c r="K1960">
        <v>185137.43</v>
      </c>
    </row>
    <row r="1961" spans="1:12" x14ac:dyDescent="0.2">
      <c r="A1961" t="s">
        <v>51</v>
      </c>
      <c r="B1961" t="s">
        <v>72</v>
      </c>
      <c r="C1961" t="s">
        <v>197</v>
      </c>
      <c r="D1961">
        <v>221028.05</v>
      </c>
      <c r="E1961">
        <v>219188.55</v>
      </c>
      <c r="I1961">
        <v>195518.9</v>
      </c>
      <c r="J1961">
        <v>201320.4</v>
      </c>
    </row>
    <row r="1962" spans="1:12" x14ac:dyDescent="0.2">
      <c r="A1962" t="s">
        <v>51</v>
      </c>
      <c r="B1962" t="s">
        <v>72</v>
      </c>
      <c r="C1962" t="s">
        <v>198</v>
      </c>
      <c r="D1962">
        <v>200619.4</v>
      </c>
      <c r="I1962">
        <v>170318.35</v>
      </c>
    </row>
    <row r="1963" spans="1:12" x14ac:dyDescent="0.2">
      <c r="A1963" t="s">
        <v>52</v>
      </c>
      <c r="B1963" t="s">
        <v>109</v>
      </c>
      <c r="C1963" t="s">
        <v>195</v>
      </c>
      <c r="D1963">
        <v>1699248.91</v>
      </c>
      <c r="E1963">
        <v>1674349.45</v>
      </c>
      <c r="F1963">
        <v>1665380.01</v>
      </c>
      <c r="G1963">
        <v>1659062.2</v>
      </c>
      <c r="I1963">
        <v>54762.12</v>
      </c>
      <c r="J1963">
        <v>96577.26</v>
      </c>
      <c r="K1963">
        <v>127491.61</v>
      </c>
      <c r="L1963">
        <v>157953.74</v>
      </c>
    </row>
    <row r="1964" spans="1:12" x14ac:dyDescent="0.2">
      <c r="A1964" t="s">
        <v>52</v>
      </c>
      <c r="B1964" t="s">
        <v>109</v>
      </c>
      <c r="C1964" t="s">
        <v>196</v>
      </c>
      <c r="D1964">
        <v>3501074.66</v>
      </c>
      <c r="E1964">
        <v>3479404.2</v>
      </c>
      <c r="F1964">
        <v>3468846.63</v>
      </c>
      <c r="I1964">
        <v>75779.67</v>
      </c>
      <c r="J1964">
        <v>120984.69</v>
      </c>
      <c r="K1964">
        <v>156130.49</v>
      </c>
    </row>
    <row r="1965" spans="1:12" x14ac:dyDescent="0.2">
      <c r="A1965" t="s">
        <v>52</v>
      </c>
      <c r="B1965" t="s">
        <v>109</v>
      </c>
      <c r="C1965" t="s">
        <v>197</v>
      </c>
      <c r="D1965">
        <v>2902739.92</v>
      </c>
      <c r="E1965">
        <v>2377162.7000000002</v>
      </c>
      <c r="I1965">
        <v>89083.41</v>
      </c>
      <c r="J1965">
        <v>134555.51</v>
      </c>
    </row>
    <row r="1966" spans="1:12" x14ac:dyDescent="0.2">
      <c r="A1966" t="s">
        <v>52</v>
      </c>
      <c r="B1966" t="s">
        <v>109</v>
      </c>
      <c r="C1966" t="s">
        <v>198</v>
      </c>
      <c r="D1966">
        <v>2004586.1</v>
      </c>
      <c r="I1966">
        <v>71458.47</v>
      </c>
    </row>
    <row r="1967" spans="1:12" x14ac:dyDescent="0.2">
      <c r="A1967" t="s">
        <v>52</v>
      </c>
      <c r="B1967" t="s">
        <v>145</v>
      </c>
      <c r="C1967" t="s">
        <v>195</v>
      </c>
      <c r="D1967">
        <v>635016</v>
      </c>
      <c r="E1967">
        <v>635016</v>
      </c>
      <c r="F1967">
        <v>635016</v>
      </c>
      <c r="G1967">
        <v>635016</v>
      </c>
      <c r="I1967">
        <v>0</v>
      </c>
      <c r="J1967">
        <v>0</v>
      </c>
      <c r="K1967">
        <v>0</v>
      </c>
      <c r="L1967">
        <v>0</v>
      </c>
    </row>
    <row r="1968" spans="1:12" x14ac:dyDescent="0.2">
      <c r="A1968" t="s">
        <v>52</v>
      </c>
      <c r="B1968" t="s">
        <v>145</v>
      </c>
      <c r="C1968" t="s">
        <v>196</v>
      </c>
      <c r="D1968">
        <v>2117184</v>
      </c>
      <c r="E1968">
        <v>2116734</v>
      </c>
      <c r="F1968">
        <v>2116734</v>
      </c>
      <c r="I1968">
        <v>1482.67</v>
      </c>
      <c r="J1968">
        <v>1666.28</v>
      </c>
      <c r="K1968">
        <v>2670.79</v>
      </c>
    </row>
    <row r="1969" spans="1:12" x14ac:dyDescent="0.2">
      <c r="A1969" t="s">
        <v>52</v>
      </c>
      <c r="B1969" t="s">
        <v>145</v>
      </c>
      <c r="C1969" t="s">
        <v>197</v>
      </c>
      <c r="D1969">
        <v>951688</v>
      </c>
      <c r="E1969">
        <v>951688</v>
      </c>
      <c r="I1969">
        <v>0</v>
      </c>
      <c r="J1969">
        <v>349.73</v>
      </c>
    </row>
    <row r="1970" spans="1:12" x14ac:dyDescent="0.2">
      <c r="A1970" t="s">
        <v>52</v>
      </c>
      <c r="B1970" t="s">
        <v>145</v>
      </c>
      <c r="C1970" t="s">
        <v>198</v>
      </c>
      <c r="D1970">
        <v>369618</v>
      </c>
      <c r="I1970">
        <v>0</v>
      </c>
    </row>
    <row r="1971" spans="1:12" x14ac:dyDescent="0.2">
      <c r="A1971" t="s">
        <v>52</v>
      </c>
      <c r="B1971" t="s">
        <v>110</v>
      </c>
      <c r="C1971" t="s">
        <v>195</v>
      </c>
      <c r="D1971">
        <v>811312.05</v>
      </c>
      <c r="E1971">
        <v>796993.25</v>
      </c>
      <c r="F1971">
        <v>783223.3</v>
      </c>
      <c r="G1971">
        <v>776269.49</v>
      </c>
      <c r="I1971">
        <v>144159.99</v>
      </c>
      <c r="J1971">
        <v>196776.78</v>
      </c>
      <c r="K1971">
        <v>222684.35</v>
      </c>
      <c r="L1971">
        <v>239702.21</v>
      </c>
    </row>
    <row r="1972" spans="1:12" x14ac:dyDescent="0.2">
      <c r="A1972" t="s">
        <v>52</v>
      </c>
      <c r="B1972" t="s">
        <v>110</v>
      </c>
      <c r="C1972" t="s">
        <v>196</v>
      </c>
      <c r="D1972">
        <v>903791.29</v>
      </c>
      <c r="E1972">
        <v>880941.59</v>
      </c>
      <c r="F1972">
        <v>866671.08</v>
      </c>
      <c r="I1972">
        <v>194459.1</v>
      </c>
      <c r="J1972">
        <v>241758.36</v>
      </c>
      <c r="K1972">
        <v>266880.89</v>
      </c>
    </row>
    <row r="1973" spans="1:12" x14ac:dyDescent="0.2">
      <c r="A1973" t="s">
        <v>52</v>
      </c>
      <c r="B1973" t="s">
        <v>110</v>
      </c>
      <c r="C1973" t="s">
        <v>197</v>
      </c>
      <c r="D1973">
        <v>996694.2</v>
      </c>
      <c r="E1973">
        <v>985902.23</v>
      </c>
      <c r="I1973">
        <v>175996.84</v>
      </c>
      <c r="J1973">
        <v>227897.67</v>
      </c>
    </row>
    <row r="1974" spans="1:12" x14ac:dyDescent="0.2">
      <c r="A1974" t="s">
        <v>52</v>
      </c>
      <c r="B1974" t="s">
        <v>110</v>
      </c>
      <c r="C1974" t="s">
        <v>198</v>
      </c>
      <c r="D1974">
        <v>955240.77</v>
      </c>
      <c r="I1974">
        <v>154813.5</v>
      </c>
    </row>
    <row r="1975" spans="1:12" x14ac:dyDescent="0.2">
      <c r="A1975" t="s">
        <v>52</v>
      </c>
      <c r="B1975" t="s">
        <v>116</v>
      </c>
      <c r="C1975" t="s">
        <v>195</v>
      </c>
      <c r="D1975">
        <v>43249</v>
      </c>
      <c r="E1975">
        <v>47699</v>
      </c>
      <c r="F1975">
        <v>47499</v>
      </c>
      <c r="G1975">
        <v>47409</v>
      </c>
      <c r="I1975">
        <v>981.5</v>
      </c>
      <c r="J1975">
        <v>1310.91</v>
      </c>
      <c r="K1975">
        <v>1810.23</v>
      </c>
      <c r="L1975">
        <v>1810.23</v>
      </c>
    </row>
    <row r="1976" spans="1:12" x14ac:dyDescent="0.2">
      <c r="A1976" t="s">
        <v>52</v>
      </c>
      <c r="B1976" t="s">
        <v>116</v>
      </c>
      <c r="C1976" t="s">
        <v>196</v>
      </c>
      <c r="D1976">
        <v>49037</v>
      </c>
      <c r="E1976">
        <v>56935.5</v>
      </c>
      <c r="F1976">
        <v>56885.5</v>
      </c>
      <c r="I1976">
        <v>1401.5</v>
      </c>
      <c r="J1976">
        <v>2086.25</v>
      </c>
      <c r="K1976">
        <v>2136.25</v>
      </c>
    </row>
    <row r="1977" spans="1:12" x14ac:dyDescent="0.2">
      <c r="A1977" t="s">
        <v>52</v>
      </c>
      <c r="B1977" t="s">
        <v>116</v>
      </c>
      <c r="C1977" t="s">
        <v>197</v>
      </c>
      <c r="D1977">
        <v>56889.73</v>
      </c>
      <c r="E1977">
        <v>61429.73</v>
      </c>
      <c r="I1977">
        <v>1934.5</v>
      </c>
      <c r="J1977">
        <v>2134.5</v>
      </c>
    </row>
    <row r="1978" spans="1:12" x14ac:dyDescent="0.2">
      <c r="A1978" t="s">
        <v>52</v>
      </c>
      <c r="B1978" t="s">
        <v>116</v>
      </c>
      <c r="C1978" t="s">
        <v>198</v>
      </c>
      <c r="D1978">
        <v>50329.25</v>
      </c>
      <c r="I1978">
        <v>1522</v>
      </c>
    </row>
    <row r="1979" spans="1:12" x14ac:dyDescent="0.2">
      <c r="A1979" t="s">
        <v>52</v>
      </c>
      <c r="B1979" t="s">
        <v>114</v>
      </c>
      <c r="C1979" t="s">
        <v>195</v>
      </c>
      <c r="D1979">
        <v>1517413.97</v>
      </c>
      <c r="E1979">
        <v>1489075.16</v>
      </c>
      <c r="F1979">
        <v>1473280</v>
      </c>
      <c r="G1979">
        <v>1459191.04</v>
      </c>
      <c r="I1979">
        <v>423465.54</v>
      </c>
      <c r="J1979">
        <v>615834.38</v>
      </c>
      <c r="K1979">
        <v>716771.13</v>
      </c>
      <c r="L1979">
        <v>785287.06</v>
      </c>
    </row>
    <row r="1980" spans="1:12" x14ac:dyDescent="0.2">
      <c r="A1980" t="s">
        <v>52</v>
      </c>
      <c r="B1980" t="s">
        <v>114</v>
      </c>
      <c r="C1980" t="s">
        <v>196</v>
      </c>
      <c r="D1980">
        <v>1659081.32</v>
      </c>
      <c r="E1980">
        <v>1632884.73</v>
      </c>
      <c r="F1980">
        <v>1610036.85</v>
      </c>
      <c r="I1980">
        <v>438657.29</v>
      </c>
      <c r="J1980">
        <v>639635.57999999996</v>
      </c>
      <c r="K1980">
        <v>738017.74</v>
      </c>
    </row>
    <row r="1981" spans="1:12" x14ac:dyDescent="0.2">
      <c r="A1981" t="s">
        <v>52</v>
      </c>
      <c r="B1981" t="s">
        <v>114</v>
      </c>
      <c r="C1981" t="s">
        <v>197</v>
      </c>
      <c r="D1981">
        <v>1710699</v>
      </c>
      <c r="E1981">
        <v>1681895.6</v>
      </c>
      <c r="I1981">
        <v>441000.47</v>
      </c>
      <c r="J1981">
        <v>617252.14</v>
      </c>
    </row>
    <row r="1982" spans="1:12" x14ac:dyDescent="0.2">
      <c r="A1982" t="s">
        <v>52</v>
      </c>
      <c r="B1982" t="s">
        <v>114</v>
      </c>
      <c r="C1982" t="s">
        <v>198</v>
      </c>
      <c r="D1982">
        <v>1609218.24</v>
      </c>
      <c r="I1982">
        <v>373548.69</v>
      </c>
    </row>
    <row r="1983" spans="1:12" x14ac:dyDescent="0.2">
      <c r="A1983" t="s">
        <v>52</v>
      </c>
      <c r="B1983" t="s">
        <v>111</v>
      </c>
      <c r="C1983" t="s">
        <v>195</v>
      </c>
      <c r="D1983">
        <v>2701299.4</v>
      </c>
      <c r="E1983">
        <v>2660330.4</v>
      </c>
      <c r="F1983">
        <v>2645972.4</v>
      </c>
      <c r="G1983">
        <v>2640848.4</v>
      </c>
      <c r="I1983">
        <v>2600805.71</v>
      </c>
      <c r="J1983">
        <v>2616975.08</v>
      </c>
      <c r="K1983">
        <v>2606546.4</v>
      </c>
      <c r="L1983">
        <v>2599387.67</v>
      </c>
    </row>
    <row r="1984" spans="1:12" x14ac:dyDescent="0.2">
      <c r="A1984" t="s">
        <v>52</v>
      </c>
      <c r="B1984" t="s">
        <v>111</v>
      </c>
      <c r="C1984" t="s">
        <v>196</v>
      </c>
      <c r="D1984">
        <v>2914336.21</v>
      </c>
      <c r="E1984">
        <v>2901230.21</v>
      </c>
      <c r="F1984">
        <v>2894160.21</v>
      </c>
      <c r="I1984">
        <v>2854284.54</v>
      </c>
      <c r="J1984">
        <v>2865419.75</v>
      </c>
      <c r="K1984">
        <v>2854487.45</v>
      </c>
    </row>
    <row r="1985" spans="1:12" x14ac:dyDescent="0.2">
      <c r="A1985" t="s">
        <v>52</v>
      </c>
      <c r="B1985" t="s">
        <v>111</v>
      </c>
      <c r="C1985" t="s">
        <v>197</v>
      </c>
      <c r="D1985">
        <v>3029898.92</v>
      </c>
      <c r="E1985">
        <v>3027345.17</v>
      </c>
      <c r="I1985">
        <v>2963257.18</v>
      </c>
      <c r="J1985">
        <v>2978697.84</v>
      </c>
    </row>
    <row r="1986" spans="1:12" x14ac:dyDescent="0.2">
      <c r="A1986" t="s">
        <v>52</v>
      </c>
      <c r="B1986" t="s">
        <v>111</v>
      </c>
      <c r="C1986" t="s">
        <v>198</v>
      </c>
      <c r="D1986">
        <v>2739190.02</v>
      </c>
      <c r="I1986">
        <v>2676648.3199999998</v>
      </c>
    </row>
    <row r="1987" spans="1:12" x14ac:dyDescent="0.2">
      <c r="A1987" t="s">
        <v>52</v>
      </c>
      <c r="B1987" t="s">
        <v>112</v>
      </c>
      <c r="C1987" t="s">
        <v>195</v>
      </c>
      <c r="D1987">
        <v>1768137.79</v>
      </c>
      <c r="E1987">
        <v>1760801.79</v>
      </c>
      <c r="F1987">
        <v>1760551.79</v>
      </c>
      <c r="G1987">
        <v>1759484.79</v>
      </c>
      <c r="I1987">
        <v>1758547.89</v>
      </c>
      <c r="J1987">
        <v>1757981.89</v>
      </c>
      <c r="K1987">
        <v>1757976.89</v>
      </c>
      <c r="L1987">
        <v>1756841.89</v>
      </c>
    </row>
    <row r="1988" spans="1:12" x14ac:dyDescent="0.2">
      <c r="A1988" t="s">
        <v>52</v>
      </c>
      <c r="B1988" t="s">
        <v>112</v>
      </c>
      <c r="C1988" t="s">
        <v>196</v>
      </c>
      <c r="D1988">
        <v>1814115.8</v>
      </c>
      <c r="E1988">
        <v>1810057.8</v>
      </c>
      <c r="F1988">
        <v>1809587.8</v>
      </c>
      <c r="I1988">
        <v>1805111.5</v>
      </c>
      <c r="J1988">
        <v>1804717.5</v>
      </c>
      <c r="K1988">
        <v>1804439.72</v>
      </c>
    </row>
    <row r="1989" spans="1:12" x14ac:dyDescent="0.2">
      <c r="A1989" t="s">
        <v>52</v>
      </c>
      <c r="B1989" t="s">
        <v>112</v>
      </c>
      <c r="C1989" t="s">
        <v>197</v>
      </c>
      <c r="D1989">
        <v>1695628.04</v>
      </c>
      <c r="E1989">
        <v>1690601.04</v>
      </c>
      <c r="I1989">
        <v>1690011.19</v>
      </c>
      <c r="J1989">
        <v>1687430.24</v>
      </c>
    </row>
    <row r="1990" spans="1:12" x14ac:dyDescent="0.2">
      <c r="A1990" t="s">
        <v>52</v>
      </c>
      <c r="B1990" t="s">
        <v>112</v>
      </c>
      <c r="C1990" t="s">
        <v>198</v>
      </c>
      <c r="D1990">
        <v>1642279.97</v>
      </c>
      <c r="I1990">
        <v>1634863.75</v>
      </c>
    </row>
    <row r="1991" spans="1:12" x14ac:dyDescent="0.2">
      <c r="A1991" t="s">
        <v>52</v>
      </c>
      <c r="B1991" t="s">
        <v>115</v>
      </c>
      <c r="C1991" t="s">
        <v>195</v>
      </c>
      <c r="D1991">
        <v>6240671.8499999996</v>
      </c>
      <c r="E1991">
        <v>5688702.9000000004</v>
      </c>
      <c r="F1991">
        <v>5648339.4000000004</v>
      </c>
      <c r="G1991">
        <v>5635012.6900000004</v>
      </c>
      <c r="I1991">
        <v>2683665.66</v>
      </c>
      <c r="J1991">
        <v>4697474.47</v>
      </c>
      <c r="K1991">
        <v>4956343.38</v>
      </c>
      <c r="L1991">
        <v>5045468.3899999997</v>
      </c>
    </row>
    <row r="1992" spans="1:12" x14ac:dyDescent="0.2">
      <c r="A1992" t="s">
        <v>52</v>
      </c>
      <c r="B1992" t="s">
        <v>115</v>
      </c>
      <c r="C1992" t="s">
        <v>196</v>
      </c>
      <c r="D1992">
        <v>6814051.9100000001</v>
      </c>
      <c r="E1992">
        <v>6161509.96</v>
      </c>
      <c r="F1992">
        <v>6125339.96</v>
      </c>
      <c r="I1992">
        <v>3118142.53</v>
      </c>
      <c r="J1992">
        <v>5117302.67</v>
      </c>
      <c r="K1992">
        <v>5361296.83</v>
      </c>
    </row>
    <row r="1993" spans="1:12" x14ac:dyDescent="0.2">
      <c r="A1993" t="s">
        <v>52</v>
      </c>
      <c r="B1993" t="s">
        <v>115</v>
      </c>
      <c r="C1993" t="s">
        <v>197</v>
      </c>
      <c r="D1993">
        <v>6615106.2199999997</v>
      </c>
      <c r="E1993">
        <v>6022077.3700000001</v>
      </c>
      <c r="I1993">
        <v>2984664.88</v>
      </c>
      <c r="J1993">
        <v>4900423.8499999996</v>
      </c>
    </row>
    <row r="1994" spans="1:12" x14ac:dyDescent="0.2">
      <c r="A1994" t="s">
        <v>52</v>
      </c>
      <c r="B1994" t="s">
        <v>115</v>
      </c>
      <c r="C1994" t="s">
        <v>198</v>
      </c>
      <c r="D1994">
        <v>5606768.7000000002</v>
      </c>
      <c r="I1994">
        <v>2582237.7200000002</v>
      </c>
    </row>
    <row r="1995" spans="1:12" x14ac:dyDescent="0.2">
      <c r="A1995" t="s">
        <v>52</v>
      </c>
      <c r="B1995" t="s">
        <v>113</v>
      </c>
      <c r="C1995" t="s">
        <v>195</v>
      </c>
      <c r="D1995">
        <v>573682</v>
      </c>
      <c r="E1995">
        <v>567334</v>
      </c>
      <c r="F1995">
        <v>565157</v>
      </c>
      <c r="G1995">
        <v>563199</v>
      </c>
      <c r="I1995">
        <v>555799.59</v>
      </c>
      <c r="J1995">
        <v>553688.62</v>
      </c>
      <c r="K1995">
        <v>552823.62</v>
      </c>
      <c r="L1995">
        <v>551667.62</v>
      </c>
    </row>
    <row r="1996" spans="1:12" x14ac:dyDescent="0.2">
      <c r="A1996" t="s">
        <v>52</v>
      </c>
      <c r="B1996" t="s">
        <v>113</v>
      </c>
      <c r="C1996" t="s">
        <v>196</v>
      </c>
      <c r="D1996">
        <v>592551.09</v>
      </c>
      <c r="E1996">
        <v>586338.09</v>
      </c>
      <c r="F1996">
        <v>585163.09</v>
      </c>
      <c r="I1996">
        <v>587619.29</v>
      </c>
      <c r="J1996">
        <v>583309.35</v>
      </c>
      <c r="K1996">
        <v>581836.62</v>
      </c>
    </row>
    <row r="1997" spans="1:12" x14ac:dyDescent="0.2">
      <c r="A1997" t="s">
        <v>52</v>
      </c>
      <c r="B1997" t="s">
        <v>113</v>
      </c>
      <c r="C1997" t="s">
        <v>197</v>
      </c>
      <c r="D1997">
        <v>611201</v>
      </c>
      <c r="E1997">
        <v>606169</v>
      </c>
      <c r="I1997">
        <v>605677.71</v>
      </c>
      <c r="J1997">
        <v>601046.01</v>
      </c>
    </row>
    <row r="1998" spans="1:12" x14ac:dyDescent="0.2">
      <c r="A1998" t="s">
        <v>52</v>
      </c>
      <c r="B1998" t="s">
        <v>113</v>
      </c>
      <c r="C1998" t="s">
        <v>198</v>
      </c>
      <c r="D1998">
        <v>537714.18999999994</v>
      </c>
      <c r="I1998">
        <v>527595.01</v>
      </c>
    </row>
    <row r="1999" spans="1:12" x14ac:dyDescent="0.2">
      <c r="A1999" t="s">
        <v>52</v>
      </c>
      <c r="B1999" t="s">
        <v>72</v>
      </c>
      <c r="C1999" t="s">
        <v>195</v>
      </c>
      <c r="D1999">
        <v>654401.15</v>
      </c>
      <c r="E1999">
        <v>649279.65</v>
      </c>
      <c r="F1999">
        <v>646941.65</v>
      </c>
      <c r="G1999">
        <v>646941.65</v>
      </c>
      <c r="I1999">
        <v>613825.04</v>
      </c>
      <c r="J1999">
        <v>619460.72</v>
      </c>
      <c r="K1999">
        <v>619626.07999999996</v>
      </c>
      <c r="L1999">
        <v>619834.81000000006</v>
      </c>
    </row>
    <row r="2000" spans="1:12" x14ac:dyDescent="0.2">
      <c r="A2000" t="s">
        <v>52</v>
      </c>
      <c r="B2000" t="s">
        <v>72</v>
      </c>
      <c r="C2000" t="s">
        <v>196</v>
      </c>
      <c r="D2000">
        <v>767915.07</v>
      </c>
      <c r="E2000">
        <v>764364.57</v>
      </c>
      <c r="F2000">
        <v>764364.57</v>
      </c>
      <c r="I2000">
        <v>738781.4</v>
      </c>
      <c r="J2000">
        <v>743485.1</v>
      </c>
      <c r="K2000">
        <v>744390.77</v>
      </c>
    </row>
    <row r="2001" spans="1:12" x14ac:dyDescent="0.2">
      <c r="A2001" t="s">
        <v>52</v>
      </c>
      <c r="B2001" t="s">
        <v>72</v>
      </c>
      <c r="C2001" t="s">
        <v>197</v>
      </c>
      <c r="D2001">
        <v>830312.85</v>
      </c>
      <c r="E2001">
        <v>828294.85</v>
      </c>
      <c r="I2001">
        <v>794606.72</v>
      </c>
      <c r="J2001">
        <v>798461.08</v>
      </c>
    </row>
    <row r="2002" spans="1:12" x14ac:dyDescent="0.2">
      <c r="A2002" t="s">
        <v>52</v>
      </c>
      <c r="B2002" t="s">
        <v>72</v>
      </c>
      <c r="C2002" t="s">
        <v>198</v>
      </c>
      <c r="D2002">
        <v>669017.25</v>
      </c>
      <c r="I2002">
        <v>640401.85</v>
      </c>
    </row>
    <row r="2003" spans="1:12" x14ac:dyDescent="0.2">
      <c r="A2003" t="s">
        <v>53</v>
      </c>
      <c r="B2003" t="s">
        <v>109</v>
      </c>
      <c r="C2003" t="s">
        <v>195</v>
      </c>
      <c r="D2003">
        <v>1425933.27</v>
      </c>
      <c r="E2003">
        <v>1565847.8</v>
      </c>
      <c r="F2003">
        <v>1568700.96</v>
      </c>
      <c r="G2003">
        <v>1662270.66</v>
      </c>
      <c r="I2003">
        <v>36546.18</v>
      </c>
      <c r="J2003">
        <v>68821.86</v>
      </c>
      <c r="K2003">
        <v>91457.44</v>
      </c>
      <c r="L2003">
        <v>117863.39</v>
      </c>
    </row>
    <row r="2004" spans="1:12" x14ac:dyDescent="0.2">
      <c r="A2004" t="s">
        <v>53</v>
      </c>
      <c r="B2004" t="s">
        <v>109</v>
      </c>
      <c r="C2004" t="s">
        <v>196</v>
      </c>
      <c r="D2004">
        <v>482380.28</v>
      </c>
      <c r="E2004">
        <v>863453.68</v>
      </c>
      <c r="F2004">
        <v>949935.68</v>
      </c>
      <c r="I2004">
        <v>31791.89</v>
      </c>
      <c r="J2004">
        <v>56695.26</v>
      </c>
      <c r="K2004">
        <v>78325.61</v>
      </c>
    </row>
    <row r="2005" spans="1:12" x14ac:dyDescent="0.2">
      <c r="A2005" t="s">
        <v>53</v>
      </c>
      <c r="B2005" t="s">
        <v>109</v>
      </c>
      <c r="C2005" t="s">
        <v>197</v>
      </c>
      <c r="D2005">
        <v>1290582.93</v>
      </c>
      <c r="E2005">
        <v>1396273.42</v>
      </c>
      <c r="I2005">
        <v>41289.74</v>
      </c>
      <c r="J2005">
        <v>72401.929999999993</v>
      </c>
    </row>
    <row r="2006" spans="1:12" x14ac:dyDescent="0.2">
      <c r="A2006" t="s">
        <v>53</v>
      </c>
      <c r="B2006" t="s">
        <v>109</v>
      </c>
      <c r="C2006" t="s">
        <v>198</v>
      </c>
      <c r="D2006">
        <v>1131205.3799999999</v>
      </c>
      <c r="I2006">
        <v>29420.51</v>
      </c>
    </row>
    <row r="2007" spans="1:12" x14ac:dyDescent="0.2">
      <c r="A2007" t="s">
        <v>53</v>
      </c>
      <c r="B2007" t="s">
        <v>145</v>
      </c>
      <c r="C2007" t="s">
        <v>195</v>
      </c>
      <c r="D2007">
        <v>579979</v>
      </c>
      <c r="E2007">
        <v>579979</v>
      </c>
      <c r="F2007">
        <v>579979</v>
      </c>
      <c r="G2007">
        <v>579314</v>
      </c>
      <c r="I2007">
        <v>0</v>
      </c>
      <c r="J2007">
        <v>0</v>
      </c>
      <c r="K2007">
        <v>0</v>
      </c>
      <c r="L2007">
        <v>34.56</v>
      </c>
    </row>
    <row r="2008" spans="1:12" x14ac:dyDescent="0.2">
      <c r="A2008" t="s">
        <v>53</v>
      </c>
      <c r="B2008" t="s">
        <v>145</v>
      </c>
      <c r="C2008" t="s">
        <v>196</v>
      </c>
      <c r="D2008">
        <v>1277</v>
      </c>
      <c r="E2008">
        <v>56177</v>
      </c>
      <c r="F2008">
        <v>56931</v>
      </c>
      <c r="I2008">
        <v>0</v>
      </c>
      <c r="J2008">
        <v>150</v>
      </c>
      <c r="K2008">
        <v>150</v>
      </c>
    </row>
    <row r="2009" spans="1:12" x14ac:dyDescent="0.2">
      <c r="A2009" t="s">
        <v>53</v>
      </c>
      <c r="B2009" t="s">
        <v>145</v>
      </c>
      <c r="C2009" t="s">
        <v>197</v>
      </c>
      <c r="D2009">
        <v>266458</v>
      </c>
      <c r="E2009">
        <v>269363</v>
      </c>
      <c r="I2009">
        <v>11</v>
      </c>
      <c r="J2009">
        <v>11</v>
      </c>
    </row>
    <row r="2010" spans="1:12" x14ac:dyDescent="0.2">
      <c r="A2010" t="s">
        <v>53</v>
      </c>
      <c r="B2010" t="s">
        <v>145</v>
      </c>
      <c r="C2010" t="s">
        <v>198</v>
      </c>
      <c r="D2010">
        <v>268300</v>
      </c>
      <c r="I2010">
        <v>0</v>
      </c>
    </row>
    <row r="2011" spans="1:12" x14ac:dyDescent="0.2">
      <c r="A2011" t="s">
        <v>53</v>
      </c>
      <c r="B2011" t="s">
        <v>110</v>
      </c>
      <c r="C2011" t="s">
        <v>195</v>
      </c>
      <c r="D2011">
        <v>490287.76</v>
      </c>
      <c r="E2011">
        <v>511648.25</v>
      </c>
      <c r="F2011">
        <v>510529.6</v>
      </c>
      <c r="G2011">
        <v>537171.42000000004</v>
      </c>
      <c r="I2011">
        <v>130069.5</v>
      </c>
      <c r="J2011">
        <v>180806.08</v>
      </c>
      <c r="K2011">
        <v>201118.67</v>
      </c>
      <c r="L2011">
        <v>233787.85</v>
      </c>
    </row>
    <row r="2012" spans="1:12" x14ac:dyDescent="0.2">
      <c r="A2012" t="s">
        <v>53</v>
      </c>
      <c r="B2012" t="s">
        <v>110</v>
      </c>
      <c r="C2012" t="s">
        <v>196</v>
      </c>
      <c r="D2012">
        <v>612173.77</v>
      </c>
      <c r="E2012">
        <v>620031.34</v>
      </c>
      <c r="F2012">
        <v>642247.24</v>
      </c>
      <c r="I2012">
        <v>116355.44</v>
      </c>
      <c r="J2012">
        <v>173120.81</v>
      </c>
      <c r="K2012">
        <v>202402.29</v>
      </c>
    </row>
    <row r="2013" spans="1:12" x14ac:dyDescent="0.2">
      <c r="A2013" t="s">
        <v>53</v>
      </c>
      <c r="B2013" t="s">
        <v>110</v>
      </c>
      <c r="C2013" t="s">
        <v>197</v>
      </c>
      <c r="D2013">
        <v>1196054.9099999999</v>
      </c>
      <c r="E2013">
        <v>831114.41</v>
      </c>
      <c r="I2013">
        <v>153385.21</v>
      </c>
      <c r="J2013">
        <v>242215.93</v>
      </c>
    </row>
    <row r="2014" spans="1:12" x14ac:dyDescent="0.2">
      <c r="A2014" t="s">
        <v>53</v>
      </c>
      <c r="B2014" t="s">
        <v>110</v>
      </c>
      <c r="C2014" t="s">
        <v>198</v>
      </c>
      <c r="D2014">
        <v>1126235.6200000001</v>
      </c>
      <c r="I2014">
        <v>123080.64</v>
      </c>
    </row>
    <row r="2015" spans="1:12" x14ac:dyDescent="0.2">
      <c r="A2015" t="s">
        <v>53</v>
      </c>
      <c r="B2015" t="s">
        <v>116</v>
      </c>
      <c r="C2015" t="s">
        <v>195</v>
      </c>
      <c r="D2015">
        <v>46482.5</v>
      </c>
      <c r="E2015">
        <v>48313.5</v>
      </c>
      <c r="F2015">
        <v>47858.22</v>
      </c>
      <c r="G2015">
        <v>52781.22</v>
      </c>
      <c r="I2015">
        <v>2256.39</v>
      </c>
      <c r="J2015">
        <v>5003</v>
      </c>
      <c r="K2015">
        <v>6151.5</v>
      </c>
      <c r="L2015">
        <v>6897.5</v>
      </c>
    </row>
    <row r="2016" spans="1:12" x14ac:dyDescent="0.2">
      <c r="A2016" t="s">
        <v>53</v>
      </c>
      <c r="B2016" t="s">
        <v>116</v>
      </c>
      <c r="C2016" t="s">
        <v>196</v>
      </c>
      <c r="D2016">
        <v>28794.5</v>
      </c>
      <c r="E2016">
        <v>49141.5</v>
      </c>
      <c r="F2016">
        <v>54691.5</v>
      </c>
      <c r="I2016">
        <v>2996</v>
      </c>
      <c r="J2016">
        <v>4161.5</v>
      </c>
      <c r="K2016">
        <v>6513.5</v>
      </c>
    </row>
    <row r="2017" spans="1:12" x14ac:dyDescent="0.2">
      <c r="A2017" t="s">
        <v>53</v>
      </c>
      <c r="B2017" t="s">
        <v>116</v>
      </c>
      <c r="C2017" t="s">
        <v>197</v>
      </c>
      <c r="D2017">
        <v>37909.5</v>
      </c>
      <c r="E2017">
        <v>44418.5</v>
      </c>
      <c r="I2017">
        <v>2049</v>
      </c>
      <c r="J2017">
        <v>3853.5</v>
      </c>
    </row>
    <row r="2018" spans="1:12" x14ac:dyDescent="0.2">
      <c r="A2018" t="s">
        <v>53</v>
      </c>
      <c r="B2018" t="s">
        <v>116</v>
      </c>
      <c r="C2018" t="s">
        <v>198</v>
      </c>
      <c r="D2018">
        <v>37888</v>
      </c>
      <c r="I2018">
        <v>3212.5</v>
      </c>
    </row>
    <row r="2019" spans="1:12" x14ac:dyDescent="0.2">
      <c r="A2019" t="s">
        <v>53</v>
      </c>
      <c r="B2019" t="s">
        <v>114</v>
      </c>
      <c r="C2019" t="s">
        <v>195</v>
      </c>
      <c r="D2019">
        <v>427027.17</v>
      </c>
      <c r="E2019">
        <v>464670.67</v>
      </c>
      <c r="F2019">
        <v>433831.67</v>
      </c>
      <c r="G2019">
        <v>437929.67</v>
      </c>
      <c r="I2019">
        <v>111702.8</v>
      </c>
      <c r="J2019">
        <v>178745.48</v>
      </c>
      <c r="K2019">
        <v>205717.55</v>
      </c>
      <c r="L2019">
        <v>235087.5</v>
      </c>
    </row>
    <row r="2020" spans="1:12" x14ac:dyDescent="0.2">
      <c r="A2020" t="s">
        <v>53</v>
      </c>
      <c r="B2020" t="s">
        <v>114</v>
      </c>
      <c r="C2020" t="s">
        <v>196</v>
      </c>
      <c r="D2020">
        <v>418047.13</v>
      </c>
      <c r="E2020">
        <v>481866.48</v>
      </c>
      <c r="F2020">
        <v>488942.48</v>
      </c>
      <c r="I2020">
        <v>138691.38</v>
      </c>
      <c r="J2020">
        <v>207402.65</v>
      </c>
      <c r="K2020">
        <v>236290.4</v>
      </c>
    </row>
    <row r="2021" spans="1:12" x14ac:dyDescent="0.2">
      <c r="A2021" t="s">
        <v>53</v>
      </c>
      <c r="B2021" t="s">
        <v>114</v>
      </c>
      <c r="C2021" t="s">
        <v>197</v>
      </c>
      <c r="D2021">
        <v>520890.09</v>
      </c>
      <c r="E2021">
        <v>531225.59</v>
      </c>
      <c r="I2021">
        <v>131348.70000000001</v>
      </c>
      <c r="J2021">
        <v>215884.27</v>
      </c>
    </row>
    <row r="2022" spans="1:12" x14ac:dyDescent="0.2">
      <c r="A2022" t="s">
        <v>53</v>
      </c>
      <c r="B2022" t="s">
        <v>114</v>
      </c>
      <c r="C2022" t="s">
        <v>198</v>
      </c>
      <c r="D2022">
        <v>472282.48</v>
      </c>
      <c r="I2022">
        <v>117105.99</v>
      </c>
    </row>
    <row r="2023" spans="1:12" x14ac:dyDescent="0.2">
      <c r="A2023" t="s">
        <v>53</v>
      </c>
      <c r="B2023" t="s">
        <v>111</v>
      </c>
      <c r="C2023" t="s">
        <v>195</v>
      </c>
      <c r="D2023">
        <v>747683.77</v>
      </c>
      <c r="E2023">
        <v>742031.18</v>
      </c>
      <c r="F2023">
        <v>742031.18</v>
      </c>
      <c r="G2023">
        <v>894422.98</v>
      </c>
      <c r="I2023">
        <v>720545.79</v>
      </c>
      <c r="J2023">
        <v>732551.08</v>
      </c>
      <c r="K2023">
        <v>733787.58</v>
      </c>
      <c r="L2023">
        <v>886194</v>
      </c>
    </row>
    <row r="2024" spans="1:12" x14ac:dyDescent="0.2">
      <c r="A2024" t="s">
        <v>53</v>
      </c>
      <c r="B2024" t="s">
        <v>111</v>
      </c>
      <c r="C2024" t="s">
        <v>196</v>
      </c>
      <c r="D2024">
        <v>892620.47</v>
      </c>
      <c r="E2024">
        <v>906924.97</v>
      </c>
      <c r="F2024">
        <v>1094221.3700000001</v>
      </c>
      <c r="I2024">
        <v>880037.7</v>
      </c>
      <c r="J2024">
        <v>896699.2</v>
      </c>
      <c r="K2024">
        <v>1085526.71</v>
      </c>
    </row>
    <row r="2025" spans="1:12" x14ac:dyDescent="0.2">
      <c r="A2025" t="s">
        <v>53</v>
      </c>
      <c r="B2025" t="s">
        <v>111</v>
      </c>
      <c r="C2025" t="s">
        <v>197</v>
      </c>
      <c r="D2025">
        <v>907997.98</v>
      </c>
      <c r="E2025">
        <v>1067468.3600000001</v>
      </c>
      <c r="I2025">
        <v>880899.86</v>
      </c>
      <c r="J2025">
        <v>1057308.42</v>
      </c>
    </row>
    <row r="2026" spans="1:12" x14ac:dyDescent="0.2">
      <c r="A2026" t="s">
        <v>53</v>
      </c>
      <c r="B2026" t="s">
        <v>111</v>
      </c>
      <c r="C2026" t="s">
        <v>198</v>
      </c>
      <c r="D2026">
        <v>952497.42</v>
      </c>
      <c r="I2026">
        <v>930245.94</v>
      </c>
    </row>
    <row r="2027" spans="1:12" x14ac:dyDescent="0.2">
      <c r="A2027" t="s">
        <v>53</v>
      </c>
      <c r="B2027" t="s">
        <v>112</v>
      </c>
      <c r="C2027" t="s">
        <v>195</v>
      </c>
      <c r="D2027">
        <v>487173.25</v>
      </c>
      <c r="E2027">
        <v>486904.25</v>
      </c>
      <c r="F2027">
        <v>486925.35</v>
      </c>
      <c r="G2027">
        <v>488660.85</v>
      </c>
      <c r="I2027">
        <v>482389.78</v>
      </c>
      <c r="J2027">
        <v>484843.06</v>
      </c>
      <c r="K2027">
        <v>484969.16</v>
      </c>
      <c r="L2027">
        <v>486704.66</v>
      </c>
    </row>
    <row r="2028" spans="1:12" x14ac:dyDescent="0.2">
      <c r="A2028" t="s">
        <v>53</v>
      </c>
      <c r="B2028" t="s">
        <v>112</v>
      </c>
      <c r="C2028" t="s">
        <v>196</v>
      </c>
      <c r="D2028">
        <v>504611.52</v>
      </c>
      <c r="E2028">
        <v>508083.02</v>
      </c>
      <c r="F2028">
        <v>514148.62</v>
      </c>
      <c r="I2028">
        <v>501941.5</v>
      </c>
      <c r="J2028">
        <v>505720.71</v>
      </c>
      <c r="K2028">
        <v>511531.31</v>
      </c>
    </row>
    <row r="2029" spans="1:12" x14ac:dyDescent="0.2">
      <c r="A2029" t="s">
        <v>53</v>
      </c>
      <c r="B2029" t="s">
        <v>112</v>
      </c>
      <c r="C2029" t="s">
        <v>197</v>
      </c>
      <c r="D2029">
        <v>600456.26</v>
      </c>
      <c r="E2029">
        <v>605771.62</v>
      </c>
      <c r="I2029">
        <v>591251.54</v>
      </c>
      <c r="J2029">
        <v>603688.76</v>
      </c>
    </row>
    <row r="2030" spans="1:12" x14ac:dyDescent="0.2">
      <c r="A2030" t="s">
        <v>53</v>
      </c>
      <c r="B2030" t="s">
        <v>112</v>
      </c>
      <c r="C2030" t="s">
        <v>198</v>
      </c>
      <c r="D2030">
        <v>532184</v>
      </c>
      <c r="I2030">
        <v>525367.01</v>
      </c>
    </row>
    <row r="2031" spans="1:12" x14ac:dyDescent="0.2">
      <c r="A2031" t="s">
        <v>53</v>
      </c>
      <c r="B2031" t="s">
        <v>115</v>
      </c>
      <c r="C2031" t="s">
        <v>195</v>
      </c>
      <c r="D2031">
        <v>1808724.66</v>
      </c>
      <c r="E2031">
        <v>2236175.16</v>
      </c>
      <c r="F2031">
        <v>2325683.6800000002</v>
      </c>
      <c r="G2031">
        <v>2308214.1800000002</v>
      </c>
      <c r="I2031">
        <v>1283251.27</v>
      </c>
      <c r="J2031">
        <v>1675835.46</v>
      </c>
      <c r="K2031">
        <v>1890816.25</v>
      </c>
      <c r="L2031">
        <v>1974928.69</v>
      </c>
    </row>
    <row r="2032" spans="1:12" x14ac:dyDescent="0.2">
      <c r="A2032" t="s">
        <v>53</v>
      </c>
      <c r="B2032" t="s">
        <v>115</v>
      </c>
      <c r="C2032" t="s">
        <v>196</v>
      </c>
      <c r="D2032">
        <v>1313620.24</v>
      </c>
      <c r="E2032">
        <v>1681698.45</v>
      </c>
      <c r="F2032">
        <v>1642103.85</v>
      </c>
      <c r="I2032">
        <v>613064.53</v>
      </c>
      <c r="J2032">
        <v>1036854.74</v>
      </c>
      <c r="K2032">
        <v>1239141.3400000001</v>
      </c>
    </row>
    <row r="2033" spans="1:12" x14ac:dyDescent="0.2">
      <c r="A2033" t="s">
        <v>53</v>
      </c>
      <c r="B2033" t="s">
        <v>115</v>
      </c>
      <c r="C2033" t="s">
        <v>197</v>
      </c>
      <c r="D2033">
        <v>1604200.58</v>
      </c>
      <c r="E2033">
        <v>1739678.58</v>
      </c>
      <c r="I2033">
        <v>651283.15</v>
      </c>
      <c r="J2033">
        <v>1043259.07</v>
      </c>
    </row>
    <row r="2034" spans="1:12" x14ac:dyDescent="0.2">
      <c r="A2034" t="s">
        <v>53</v>
      </c>
      <c r="B2034" t="s">
        <v>115</v>
      </c>
      <c r="C2034" t="s">
        <v>198</v>
      </c>
      <c r="D2034">
        <v>1305927.01</v>
      </c>
      <c r="I2034">
        <v>542079.84</v>
      </c>
    </row>
    <row r="2035" spans="1:12" x14ac:dyDescent="0.2">
      <c r="A2035" t="s">
        <v>53</v>
      </c>
      <c r="B2035" t="s">
        <v>113</v>
      </c>
      <c r="C2035" t="s">
        <v>195</v>
      </c>
      <c r="D2035">
        <v>154220.98000000001</v>
      </c>
      <c r="E2035">
        <v>153689.98000000001</v>
      </c>
      <c r="F2035">
        <v>154300.98000000001</v>
      </c>
      <c r="G2035">
        <v>154611.98000000001</v>
      </c>
      <c r="I2035">
        <v>153851.56</v>
      </c>
      <c r="J2035">
        <v>153300.56</v>
      </c>
      <c r="K2035">
        <v>153300.56</v>
      </c>
      <c r="L2035">
        <v>154324.79999999999</v>
      </c>
    </row>
    <row r="2036" spans="1:12" x14ac:dyDescent="0.2">
      <c r="A2036" t="s">
        <v>53</v>
      </c>
      <c r="B2036" t="s">
        <v>113</v>
      </c>
      <c r="C2036" t="s">
        <v>196</v>
      </c>
      <c r="D2036">
        <v>178263.94</v>
      </c>
      <c r="E2036">
        <v>179091.53</v>
      </c>
      <c r="F2036">
        <v>179284.53</v>
      </c>
      <c r="I2036">
        <v>177395.57</v>
      </c>
      <c r="J2036">
        <v>178419.16</v>
      </c>
      <c r="K2036">
        <v>178847.16</v>
      </c>
    </row>
    <row r="2037" spans="1:12" x14ac:dyDescent="0.2">
      <c r="A2037" t="s">
        <v>53</v>
      </c>
      <c r="B2037" t="s">
        <v>113</v>
      </c>
      <c r="C2037" t="s">
        <v>197</v>
      </c>
      <c r="D2037">
        <v>182015.15</v>
      </c>
      <c r="E2037">
        <v>181402.15</v>
      </c>
      <c r="I2037">
        <v>180536.11</v>
      </c>
      <c r="J2037">
        <v>180641.37</v>
      </c>
    </row>
    <row r="2038" spans="1:12" x14ac:dyDescent="0.2">
      <c r="A2038" t="s">
        <v>53</v>
      </c>
      <c r="B2038" t="s">
        <v>113</v>
      </c>
      <c r="C2038" t="s">
        <v>198</v>
      </c>
      <c r="D2038">
        <v>156095.04999999999</v>
      </c>
      <c r="I2038">
        <v>153238.09</v>
      </c>
    </row>
    <row r="2039" spans="1:12" x14ac:dyDescent="0.2">
      <c r="A2039" t="s">
        <v>53</v>
      </c>
      <c r="B2039" t="s">
        <v>72</v>
      </c>
      <c r="C2039" t="s">
        <v>195</v>
      </c>
      <c r="D2039">
        <v>241955.83</v>
      </c>
      <c r="E2039">
        <v>238404.83</v>
      </c>
      <c r="F2039">
        <v>238699.83</v>
      </c>
      <c r="G2039">
        <v>238715.83</v>
      </c>
      <c r="I2039">
        <v>219536.63</v>
      </c>
      <c r="J2039">
        <v>222864.5</v>
      </c>
      <c r="K2039">
        <v>223584.5</v>
      </c>
      <c r="L2039">
        <v>223825.5</v>
      </c>
    </row>
    <row r="2040" spans="1:12" x14ac:dyDescent="0.2">
      <c r="A2040" t="s">
        <v>53</v>
      </c>
      <c r="B2040" t="s">
        <v>72</v>
      </c>
      <c r="C2040" t="s">
        <v>196</v>
      </c>
      <c r="D2040">
        <v>290407.27</v>
      </c>
      <c r="E2040">
        <v>294307.27</v>
      </c>
      <c r="F2040">
        <v>294307.27</v>
      </c>
      <c r="I2040">
        <v>267240.76</v>
      </c>
      <c r="J2040">
        <v>275311.7</v>
      </c>
      <c r="K2040">
        <v>275794.7</v>
      </c>
    </row>
    <row r="2041" spans="1:12" x14ac:dyDescent="0.2">
      <c r="A2041" t="s">
        <v>53</v>
      </c>
      <c r="B2041" t="s">
        <v>72</v>
      </c>
      <c r="C2041" t="s">
        <v>197</v>
      </c>
      <c r="D2041">
        <v>292426.57</v>
      </c>
      <c r="E2041">
        <v>290470.07</v>
      </c>
      <c r="I2041">
        <v>266457.86</v>
      </c>
      <c r="J2041">
        <v>272191.2</v>
      </c>
    </row>
    <row r="2042" spans="1:12" x14ac:dyDescent="0.2">
      <c r="A2042" t="s">
        <v>53</v>
      </c>
      <c r="B2042" t="s">
        <v>72</v>
      </c>
      <c r="C2042" t="s">
        <v>198</v>
      </c>
      <c r="D2042">
        <v>229898</v>
      </c>
      <c r="I2042">
        <v>205255.86</v>
      </c>
    </row>
    <row r="2043" spans="1:12" x14ac:dyDescent="0.2">
      <c r="A2043" t="s">
        <v>54</v>
      </c>
      <c r="B2043" t="s">
        <v>109</v>
      </c>
      <c r="C2043" t="s">
        <v>195</v>
      </c>
      <c r="D2043">
        <v>2850056</v>
      </c>
      <c r="E2043">
        <v>2826116</v>
      </c>
      <c r="F2043">
        <v>2815788</v>
      </c>
      <c r="G2043">
        <v>2810145</v>
      </c>
      <c r="I2043">
        <v>96724</v>
      </c>
      <c r="J2043">
        <v>160689</v>
      </c>
      <c r="K2043">
        <v>202843</v>
      </c>
      <c r="L2043">
        <v>239944</v>
      </c>
    </row>
    <row r="2044" spans="1:12" x14ac:dyDescent="0.2">
      <c r="A2044" t="s">
        <v>54</v>
      </c>
      <c r="B2044" t="s">
        <v>109</v>
      </c>
      <c r="C2044" t="s">
        <v>196</v>
      </c>
      <c r="D2044">
        <v>2712200</v>
      </c>
      <c r="E2044">
        <v>2678489</v>
      </c>
      <c r="F2044">
        <v>2669535</v>
      </c>
      <c r="I2044">
        <v>175796</v>
      </c>
      <c r="J2044">
        <v>243751</v>
      </c>
      <c r="K2044">
        <v>283554</v>
      </c>
    </row>
    <row r="2045" spans="1:12" x14ac:dyDescent="0.2">
      <c r="A2045" t="s">
        <v>54</v>
      </c>
      <c r="B2045" t="s">
        <v>109</v>
      </c>
      <c r="C2045" t="s">
        <v>197</v>
      </c>
      <c r="D2045">
        <v>2208283</v>
      </c>
      <c r="E2045">
        <v>2183915</v>
      </c>
      <c r="I2045">
        <v>113051</v>
      </c>
      <c r="J2045">
        <v>170678</v>
      </c>
    </row>
    <row r="2046" spans="1:12" x14ac:dyDescent="0.2">
      <c r="A2046" t="s">
        <v>54</v>
      </c>
      <c r="B2046" t="s">
        <v>109</v>
      </c>
      <c r="C2046" t="s">
        <v>198</v>
      </c>
      <c r="D2046">
        <v>3741013</v>
      </c>
      <c r="I2046">
        <v>87567</v>
      </c>
    </row>
    <row r="2047" spans="1:12" x14ac:dyDescent="0.2">
      <c r="A2047" t="s">
        <v>54</v>
      </c>
      <c r="B2047" t="s">
        <v>145</v>
      </c>
      <c r="C2047" t="s">
        <v>195</v>
      </c>
      <c r="D2047">
        <v>1243877</v>
      </c>
      <c r="E2047">
        <v>1243877</v>
      </c>
      <c r="F2047">
        <v>1243727</v>
      </c>
      <c r="G2047">
        <v>1243727</v>
      </c>
      <c r="I2047">
        <v>0</v>
      </c>
      <c r="J2047">
        <v>0</v>
      </c>
      <c r="K2047">
        <v>0</v>
      </c>
      <c r="L2047">
        <v>0</v>
      </c>
    </row>
    <row r="2048" spans="1:12" x14ac:dyDescent="0.2">
      <c r="A2048" t="s">
        <v>54</v>
      </c>
      <c r="B2048" t="s">
        <v>145</v>
      </c>
      <c r="C2048" t="s">
        <v>196</v>
      </c>
      <c r="D2048">
        <v>747700</v>
      </c>
      <c r="E2048">
        <v>747650</v>
      </c>
      <c r="F2048">
        <v>747550</v>
      </c>
      <c r="I2048">
        <v>0</v>
      </c>
      <c r="J2048">
        <v>0</v>
      </c>
      <c r="K2048">
        <v>0</v>
      </c>
    </row>
    <row r="2049" spans="1:12" x14ac:dyDescent="0.2">
      <c r="A2049" t="s">
        <v>54</v>
      </c>
      <c r="B2049" t="s">
        <v>145</v>
      </c>
      <c r="C2049" t="s">
        <v>197</v>
      </c>
      <c r="D2049">
        <v>375945</v>
      </c>
      <c r="E2049">
        <v>375845</v>
      </c>
      <c r="I2049">
        <v>0</v>
      </c>
      <c r="J2049">
        <v>0</v>
      </c>
    </row>
    <row r="2050" spans="1:12" x14ac:dyDescent="0.2">
      <c r="A2050" t="s">
        <v>54</v>
      </c>
      <c r="B2050" t="s">
        <v>145</v>
      </c>
      <c r="C2050" t="s">
        <v>198</v>
      </c>
      <c r="D2050">
        <v>1853302</v>
      </c>
      <c r="I2050">
        <v>0</v>
      </c>
    </row>
    <row r="2051" spans="1:12" x14ac:dyDescent="0.2">
      <c r="A2051" t="s">
        <v>54</v>
      </c>
      <c r="B2051" t="s">
        <v>110</v>
      </c>
      <c r="C2051" t="s">
        <v>195</v>
      </c>
      <c r="D2051">
        <v>1581439</v>
      </c>
      <c r="E2051">
        <v>1504876</v>
      </c>
      <c r="F2051">
        <v>1484625</v>
      </c>
      <c r="G2051">
        <v>1479148</v>
      </c>
      <c r="I2051">
        <v>267063</v>
      </c>
      <c r="J2051">
        <v>381406</v>
      </c>
      <c r="K2051">
        <v>444340</v>
      </c>
      <c r="L2051">
        <v>486269</v>
      </c>
    </row>
    <row r="2052" spans="1:12" x14ac:dyDescent="0.2">
      <c r="A2052" t="s">
        <v>54</v>
      </c>
      <c r="B2052" t="s">
        <v>110</v>
      </c>
      <c r="C2052" t="s">
        <v>196</v>
      </c>
      <c r="D2052">
        <v>1521842</v>
      </c>
      <c r="E2052">
        <v>1442977</v>
      </c>
      <c r="F2052">
        <v>1429681</v>
      </c>
      <c r="I2052">
        <v>266576</v>
      </c>
      <c r="J2052">
        <v>357245</v>
      </c>
      <c r="K2052">
        <v>409977</v>
      </c>
    </row>
    <row r="2053" spans="1:12" x14ac:dyDescent="0.2">
      <c r="A2053" t="s">
        <v>54</v>
      </c>
      <c r="B2053" t="s">
        <v>110</v>
      </c>
      <c r="C2053" t="s">
        <v>197</v>
      </c>
      <c r="D2053">
        <v>1679774</v>
      </c>
      <c r="E2053">
        <v>1606613</v>
      </c>
      <c r="I2053">
        <v>278640</v>
      </c>
      <c r="J2053">
        <v>379889</v>
      </c>
    </row>
    <row r="2054" spans="1:12" x14ac:dyDescent="0.2">
      <c r="A2054" t="s">
        <v>54</v>
      </c>
      <c r="B2054" t="s">
        <v>110</v>
      </c>
      <c r="C2054" t="s">
        <v>198</v>
      </c>
      <c r="D2054">
        <v>1471566</v>
      </c>
      <c r="I2054">
        <v>228022</v>
      </c>
    </row>
    <row r="2055" spans="1:12" x14ac:dyDescent="0.2">
      <c r="A2055" t="s">
        <v>54</v>
      </c>
      <c r="B2055" t="s">
        <v>116</v>
      </c>
      <c r="C2055" t="s">
        <v>195</v>
      </c>
      <c r="D2055">
        <v>65999</v>
      </c>
      <c r="E2055">
        <v>65837</v>
      </c>
      <c r="F2055">
        <v>64983</v>
      </c>
      <c r="G2055">
        <v>64699</v>
      </c>
      <c r="I2055">
        <v>1668</v>
      </c>
      <c r="J2055">
        <v>2002</v>
      </c>
      <c r="K2055">
        <v>2292</v>
      </c>
      <c r="L2055">
        <v>2292</v>
      </c>
    </row>
    <row r="2056" spans="1:12" x14ac:dyDescent="0.2">
      <c r="A2056" t="s">
        <v>54</v>
      </c>
      <c r="B2056" t="s">
        <v>116</v>
      </c>
      <c r="C2056" t="s">
        <v>196</v>
      </c>
      <c r="D2056">
        <v>96130</v>
      </c>
      <c r="E2056">
        <v>96130</v>
      </c>
      <c r="F2056">
        <v>95660</v>
      </c>
      <c r="I2056">
        <v>1585</v>
      </c>
      <c r="J2056">
        <v>1785</v>
      </c>
      <c r="K2056">
        <v>1838</v>
      </c>
    </row>
    <row r="2057" spans="1:12" x14ac:dyDescent="0.2">
      <c r="A2057" t="s">
        <v>54</v>
      </c>
      <c r="B2057" t="s">
        <v>116</v>
      </c>
      <c r="C2057" t="s">
        <v>197</v>
      </c>
      <c r="D2057">
        <v>88486</v>
      </c>
      <c r="E2057">
        <v>88363</v>
      </c>
      <c r="I2057">
        <v>2091</v>
      </c>
      <c r="J2057">
        <v>2891</v>
      </c>
    </row>
    <row r="2058" spans="1:12" x14ac:dyDescent="0.2">
      <c r="A2058" t="s">
        <v>54</v>
      </c>
      <c r="B2058" t="s">
        <v>116</v>
      </c>
      <c r="C2058" t="s">
        <v>198</v>
      </c>
      <c r="D2058">
        <v>63401</v>
      </c>
      <c r="I2058">
        <v>1417</v>
      </c>
    </row>
    <row r="2059" spans="1:12" x14ac:dyDescent="0.2">
      <c r="A2059" t="s">
        <v>54</v>
      </c>
      <c r="B2059" t="s">
        <v>114</v>
      </c>
      <c r="C2059" t="s">
        <v>195</v>
      </c>
      <c r="D2059">
        <v>1807603</v>
      </c>
      <c r="E2059">
        <v>1793582</v>
      </c>
      <c r="F2059">
        <v>1787400</v>
      </c>
      <c r="G2059">
        <v>1780540</v>
      </c>
      <c r="I2059">
        <v>666620</v>
      </c>
      <c r="J2059">
        <v>903912</v>
      </c>
      <c r="K2059">
        <v>1027851</v>
      </c>
      <c r="L2059">
        <v>1125624</v>
      </c>
    </row>
    <row r="2060" spans="1:12" x14ac:dyDescent="0.2">
      <c r="A2060" t="s">
        <v>54</v>
      </c>
      <c r="B2060" t="s">
        <v>114</v>
      </c>
      <c r="C2060" t="s">
        <v>196</v>
      </c>
      <c r="D2060">
        <v>2006280</v>
      </c>
      <c r="E2060">
        <v>1978471</v>
      </c>
      <c r="F2060">
        <v>1969162</v>
      </c>
      <c r="I2060">
        <v>735473</v>
      </c>
      <c r="J2060">
        <v>961102</v>
      </c>
      <c r="K2060">
        <v>1111677</v>
      </c>
    </row>
    <row r="2061" spans="1:12" x14ac:dyDescent="0.2">
      <c r="A2061" t="s">
        <v>54</v>
      </c>
      <c r="B2061" t="s">
        <v>114</v>
      </c>
      <c r="C2061" t="s">
        <v>197</v>
      </c>
      <c r="D2061">
        <v>2075562</v>
      </c>
      <c r="E2061">
        <v>2060282</v>
      </c>
      <c r="I2061">
        <v>747999</v>
      </c>
      <c r="J2061">
        <v>966601</v>
      </c>
    </row>
    <row r="2062" spans="1:12" x14ac:dyDescent="0.2">
      <c r="A2062" t="s">
        <v>54</v>
      </c>
      <c r="B2062" t="s">
        <v>114</v>
      </c>
      <c r="C2062" t="s">
        <v>198</v>
      </c>
      <c r="D2062">
        <v>1656302</v>
      </c>
      <c r="I2062">
        <v>637996</v>
      </c>
    </row>
    <row r="2063" spans="1:12" x14ac:dyDescent="0.2">
      <c r="A2063" t="s">
        <v>54</v>
      </c>
      <c r="B2063" t="s">
        <v>111</v>
      </c>
      <c r="C2063" t="s">
        <v>195</v>
      </c>
      <c r="D2063">
        <v>1434077</v>
      </c>
      <c r="E2063">
        <v>1422611</v>
      </c>
      <c r="F2063">
        <v>1420244</v>
      </c>
      <c r="G2063">
        <v>1420239</v>
      </c>
      <c r="I2063">
        <v>1427564</v>
      </c>
      <c r="J2063">
        <v>1418552</v>
      </c>
      <c r="K2063">
        <v>1416580</v>
      </c>
      <c r="L2063">
        <v>1417561</v>
      </c>
    </row>
    <row r="2064" spans="1:12" x14ac:dyDescent="0.2">
      <c r="A2064" t="s">
        <v>54</v>
      </c>
      <c r="B2064" t="s">
        <v>111</v>
      </c>
      <c r="C2064" t="s">
        <v>196</v>
      </c>
      <c r="D2064">
        <v>1682978</v>
      </c>
      <c r="E2064">
        <v>1678640</v>
      </c>
      <c r="F2064">
        <v>1678151</v>
      </c>
      <c r="I2064">
        <v>1659886</v>
      </c>
      <c r="J2064">
        <v>1672901</v>
      </c>
      <c r="K2064">
        <v>1673641</v>
      </c>
    </row>
    <row r="2065" spans="1:12" x14ac:dyDescent="0.2">
      <c r="A2065" t="s">
        <v>54</v>
      </c>
      <c r="B2065" t="s">
        <v>111</v>
      </c>
      <c r="C2065" t="s">
        <v>197</v>
      </c>
      <c r="D2065">
        <v>1661330</v>
      </c>
      <c r="E2065">
        <v>1657341</v>
      </c>
      <c r="I2065">
        <v>1643373</v>
      </c>
      <c r="J2065">
        <v>1651767</v>
      </c>
    </row>
    <row r="2066" spans="1:12" x14ac:dyDescent="0.2">
      <c r="A2066" t="s">
        <v>54</v>
      </c>
      <c r="B2066" t="s">
        <v>111</v>
      </c>
      <c r="C2066" t="s">
        <v>198</v>
      </c>
      <c r="D2066">
        <v>1452567</v>
      </c>
      <c r="I2066">
        <v>1434061</v>
      </c>
    </row>
    <row r="2067" spans="1:12" x14ac:dyDescent="0.2">
      <c r="A2067" t="s">
        <v>54</v>
      </c>
      <c r="B2067" t="s">
        <v>112</v>
      </c>
      <c r="C2067" t="s">
        <v>195</v>
      </c>
      <c r="D2067">
        <v>1166198</v>
      </c>
      <c r="E2067">
        <v>1166107</v>
      </c>
      <c r="F2067">
        <v>1166107</v>
      </c>
      <c r="G2067">
        <v>1166107</v>
      </c>
      <c r="I2067">
        <v>1163332</v>
      </c>
      <c r="J2067">
        <v>1163666</v>
      </c>
      <c r="K2067">
        <v>1163876</v>
      </c>
      <c r="L2067">
        <v>1163876</v>
      </c>
    </row>
    <row r="2068" spans="1:12" x14ac:dyDescent="0.2">
      <c r="A2068" t="s">
        <v>54</v>
      </c>
      <c r="B2068" t="s">
        <v>112</v>
      </c>
      <c r="C2068" t="s">
        <v>196</v>
      </c>
      <c r="D2068">
        <v>1174886</v>
      </c>
      <c r="E2068">
        <v>1173532</v>
      </c>
      <c r="F2068">
        <v>1173210</v>
      </c>
      <c r="I2068">
        <v>1172859</v>
      </c>
      <c r="J2068">
        <v>1171545</v>
      </c>
      <c r="K2068">
        <v>1171545</v>
      </c>
    </row>
    <row r="2069" spans="1:12" x14ac:dyDescent="0.2">
      <c r="A2069" t="s">
        <v>54</v>
      </c>
      <c r="B2069" t="s">
        <v>112</v>
      </c>
      <c r="C2069" t="s">
        <v>197</v>
      </c>
      <c r="D2069">
        <v>1275590</v>
      </c>
      <c r="E2069">
        <v>1275111</v>
      </c>
      <c r="I2069">
        <v>1271847</v>
      </c>
      <c r="J2069">
        <v>1272472</v>
      </c>
    </row>
    <row r="2070" spans="1:12" x14ac:dyDescent="0.2">
      <c r="A2070" t="s">
        <v>54</v>
      </c>
      <c r="B2070" t="s">
        <v>112</v>
      </c>
      <c r="C2070" t="s">
        <v>198</v>
      </c>
      <c r="D2070">
        <v>1062905</v>
      </c>
      <c r="I2070">
        <v>1059433</v>
      </c>
    </row>
    <row r="2071" spans="1:12" x14ac:dyDescent="0.2">
      <c r="A2071" t="s">
        <v>54</v>
      </c>
      <c r="B2071" t="s">
        <v>115</v>
      </c>
      <c r="C2071" t="s">
        <v>195</v>
      </c>
      <c r="D2071">
        <v>4559343</v>
      </c>
      <c r="E2071">
        <v>3871985</v>
      </c>
      <c r="F2071">
        <v>3800834</v>
      </c>
      <c r="G2071">
        <v>3770009</v>
      </c>
      <c r="I2071">
        <v>2367750</v>
      </c>
      <c r="J2071">
        <v>3135145</v>
      </c>
      <c r="K2071">
        <v>3304233</v>
      </c>
      <c r="L2071">
        <v>3362191</v>
      </c>
    </row>
    <row r="2072" spans="1:12" x14ac:dyDescent="0.2">
      <c r="A2072" t="s">
        <v>54</v>
      </c>
      <c r="B2072" t="s">
        <v>115</v>
      </c>
      <c r="C2072" t="s">
        <v>196</v>
      </c>
      <c r="D2072">
        <v>4914781</v>
      </c>
      <c r="E2072">
        <v>4144103</v>
      </c>
      <c r="F2072">
        <v>4068829</v>
      </c>
      <c r="I2072">
        <v>2593385</v>
      </c>
      <c r="J2072">
        <v>3383394</v>
      </c>
      <c r="K2072">
        <v>3529909</v>
      </c>
    </row>
    <row r="2073" spans="1:12" x14ac:dyDescent="0.2">
      <c r="A2073" t="s">
        <v>54</v>
      </c>
      <c r="B2073" t="s">
        <v>115</v>
      </c>
      <c r="C2073" t="s">
        <v>197</v>
      </c>
      <c r="D2073">
        <v>5163441</v>
      </c>
      <c r="E2073">
        <v>4383658</v>
      </c>
      <c r="I2073">
        <v>2785350</v>
      </c>
      <c r="J2073">
        <v>3503764</v>
      </c>
    </row>
    <row r="2074" spans="1:12" x14ac:dyDescent="0.2">
      <c r="A2074" t="s">
        <v>54</v>
      </c>
      <c r="B2074" t="s">
        <v>115</v>
      </c>
      <c r="C2074" t="s">
        <v>198</v>
      </c>
      <c r="D2074">
        <v>4398551</v>
      </c>
      <c r="I2074">
        <v>2347555</v>
      </c>
    </row>
    <row r="2075" spans="1:12" x14ac:dyDescent="0.2">
      <c r="A2075" t="s">
        <v>54</v>
      </c>
      <c r="B2075" t="s">
        <v>113</v>
      </c>
      <c r="C2075" t="s">
        <v>195</v>
      </c>
      <c r="D2075">
        <v>382141</v>
      </c>
      <c r="E2075">
        <v>381165</v>
      </c>
      <c r="F2075">
        <v>381165</v>
      </c>
      <c r="G2075">
        <v>381165</v>
      </c>
      <c r="I2075">
        <v>376627</v>
      </c>
      <c r="J2075">
        <v>380988</v>
      </c>
      <c r="K2075">
        <v>380988</v>
      </c>
      <c r="L2075">
        <v>380988</v>
      </c>
    </row>
    <row r="2076" spans="1:12" x14ac:dyDescent="0.2">
      <c r="A2076" t="s">
        <v>54</v>
      </c>
      <c r="B2076" t="s">
        <v>113</v>
      </c>
      <c r="C2076" t="s">
        <v>196</v>
      </c>
      <c r="D2076">
        <v>426823</v>
      </c>
      <c r="E2076">
        <v>426495</v>
      </c>
      <c r="F2076">
        <v>426495</v>
      </c>
      <c r="I2076">
        <v>419066</v>
      </c>
      <c r="J2076">
        <v>426129</v>
      </c>
      <c r="K2076">
        <v>426129</v>
      </c>
    </row>
    <row r="2077" spans="1:12" x14ac:dyDescent="0.2">
      <c r="A2077" t="s">
        <v>54</v>
      </c>
      <c r="B2077" t="s">
        <v>113</v>
      </c>
      <c r="C2077" t="s">
        <v>197</v>
      </c>
      <c r="D2077">
        <v>433724</v>
      </c>
      <c r="E2077">
        <v>433324</v>
      </c>
      <c r="I2077">
        <v>426219</v>
      </c>
      <c r="J2077">
        <v>432872</v>
      </c>
    </row>
    <row r="2078" spans="1:12" x14ac:dyDescent="0.2">
      <c r="A2078" t="s">
        <v>54</v>
      </c>
      <c r="B2078" t="s">
        <v>113</v>
      </c>
      <c r="C2078" t="s">
        <v>198</v>
      </c>
      <c r="D2078">
        <v>384208</v>
      </c>
      <c r="I2078">
        <v>379201</v>
      </c>
    </row>
    <row r="2079" spans="1:12" x14ac:dyDescent="0.2">
      <c r="A2079" t="s">
        <v>54</v>
      </c>
      <c r="B2079" t="s">
        <v>72</v>
      </c>
      <c r="C2079" t="s">
        <v>195</v>
      </c>
      <c r="D2079">
        <v>484530</v>
      </c>
      <c r="E2079">
        <v>483443</v>
      </c>
      <c r="F2079">
        <v>483330</v>
      </c>
      <c r="G2079">
        <v>483262</v>
      </c>
      <c r="I2079">
        <v>476944</v>
      </c>
      <c r="J2079">
        <v>479185</v>
      </c>
      <c r="K2079">
        <v>479236</v>
      </c>
      <c r="L2079">
        <v>479247</v>
      </c>
    </row>
    <row r="2080" spans="1:12" x14ac:dyDescent="0.2">
      <c r="A2080" t="s">
        <v>54</v>
      </c>
      <c r="B2080" t="s">
        <v>72</v>
      </c>
      <c r="C2080" t="s">
        <v>196</v>
      </c>
      <c r="D2080">
        <v>563292</v>
      </c>
      <c r="E2080">
        <v>560773</v>
      </c>
      <c r="F2080">
        <v>559879</v>
      </c>
      <c r="I2080">
        <v>553342</v>
      </c>
      <c r="J2080">
        <v>554842</v>
      </c>
      <c r="K2080">
        <v>554842</v>
      </c>
    </row>
    <row r="2081" spans="1:12" x14ac:dyDescent="0.2">
      <c r="A2081" t="s">
        <v>54</v>
      </c>
      <c r="B2081" t="s">
        <v>72</v>
      </c>
      <c r="C2081" t="s">
        <v>197</v>
      </c>
      <c r="D2081">
        <v>562314</v>
      </c>
      <c r="E2081">
        <v>560535</v>
      </c>
      <c r="I2081">
        <v>552057</v>
      </c>
      <c r="J2081">
        <v>555088</v>
      </c>
    </row>
    <row r="2082" spans="1:12" x14ac:dyDescent="0.2">
      <c r="A2082" t="s">
        <v>54</v>
      </c>
      <c r="B2082" t="s">
        <v>72</v>
      </c>
      <c r="C2082" t="s">
        <v>198</v>
      </c>
      <c r="D2082">
        <v>479720</v>
      </c>
      <c r="I2082">
        <v>474679</v>
      </c>
    </row>
    <row r="2083" spans="1:12" x14ac:dyDescent="0.2">
      <c r="A2083" t="s">
        <v>55</v>
      </c>
      <c r="B2083" t="s">
        <v>109</v>
      </c>
      <c r="C2083" t="s">
        <v>195</v>
      </c>
      <c r="D2083">
        <v>4222344.83</v>
      </c>
      <c r="E2083">
        <v>4229213.28</v>
      </c>
      <c r="F2083">
        <v>4227338.5999999996</v>
      </c>
      <c r="G2083">
        <v>4225393.17</v>
      </c>
      <c r="I2083">
        <v>57707.11</v>
      </c>
      <c r="J2083">
        <v>127969.43</v>
      </c>
      <c r="K2083">
        <v>169019.17</v>
      </c>
      <c r="L2083">
        <v>202653.25</v>
      </c>
    </row>
    <row r="2084" spans="1:12" x14ac:dyDescent="0.2">
      <c r="A2084" t="s">
        <v>55</v>
      </c>
      <c r="B2084" t="s">
        <v>109</v>
      </c>
      <c r="C2084" t="s">
        <v>196</v>
      </c>
      <c r="D2084">
        <v>3617233.07</v>
      </c>
      <c r="E2084">
        <v>3618799.87</v>
      </c>
      <c r="F2084">
        <v>3612908.33</v>
      </c>
      <c r="I2084">
        <v>61133.24</v>
      </c>
      <c r="J2084">
        <v>136397.72</v>
      </c>
      <c r="K2084">
        <v>184305.65</v>
      </c>
    </row>
    <row r="2085" spans="1:12" x14ac:dyDescent="0.2">
      <c r="A2085" t="s">
        <v>55</v>
      </c>
      <c r="B2085" t="s">
        <v>109</v>
      </c>
      <c r="C2085" t="s">
        <v>197</v>
      </c>
      <c r="D2085">
        <v>5702370.3399999999</v>
      </c>
      <c r="E2085">
        <v>5703934.4500000002</v>
      </c>
      <c r="I2085">
        <v>79573.570000000007</v>
      </c>
      <c r="J2085">
        <v>155326.82</v>
      </c>
    </row>
    <row r="2086" spans="1:12" x14ac:dyDescent="0.2">
      <c r="A2086" t="s">
        <v>55</v>
      </c>
      <c r="B2086" t="s">
        <v>109</v>
      </c>
      <c r="C2086" t="s">
        <v>198</v>
      </c>
      <c r="D2086">
        <v>3926046.94</v>
      </c>
      <c r="I2086">
        <v>80007.259999999995</v>
      </c>
    </row>
    <row r="2087" spans="1:12" x14ac:dyDescent="0.2">
      <c r="A2087" t="s">
        <v>55</v>
      </c>
      <c r="B2087" t="s">
        <v>145</v>
      </c>
      <c r="C2087" t="s">
        <v>195</v>
      </c>
      <c r="D2087">
        <v>2240227</v>
      </c>
      <c r="E2087">
        <v>2240227</v>
      </c>
      <c r="F2087">
        <v>2240227</v>
      </c>
      <c r="G2087">
        <v>2240227</v>
      </c>
      <c r="I2087">
        <v>0</v>
      </c>
      <c r="J2087">
        <v>0</v>
      </c>
      <c r="K2087">
        <v>0</v>
      </c>
      <c r="L2087">
        <v>0</v>
      </c>
    </row>
    <row r="2088" spans="1:12" x14ac:dyDescent="0.2">
      <c r="A2088" t="s">
        <v>55</v>
      </c>
      <c r="B2088" t="s">
        <v>145</v>
      </c>
      <c r="C2088" t="s">
        <v>196</v>
      </c>
      <c r="D2088">
        <v>1767861</v>
      </c>
      <c r="E2088">
        <v>1767861</v>
      </c>
      <c r="F2088">
        <v>1767861</v>
      </c>
      <c r="I2088">
        <v>45</v>
      </c>
      <c r="J2088">
        <v>191</v>
      </c>
      <c r="K2088">
        <v>371</v>
      </c>
    </row>
    <row r="2089" spans="1:12" x14ac:dyDescent="0.2">
      <c r="A2089" t="s">
        <v>55</v>
      </c>
      <c r="B2089" t="s">
        <v>145</v>
      </c>
      <c r="C2089" t="s">
        <v>197</v>
      </c>
      <c r="D2089">
        <v>3822702</v>
      </c>
      <c r="E2089">
        <v>3822702</v>
      </c>
      <c r="I2089">
        <v>175</v>
      </c>
      <c r="J2089">
        <v>175</v>
      </c>
    </row>
    <row r="2090" spans="1:12" x14ac:dyDescent="0.2">
      <c r="A2090" t="s">
        <v>55</v>
      </c>
      <c r="B2090" t="s">
        <v>145</v>
      </c>
      <c r="C2090" t="s">
        <v>198</v>
      </c>
      <c r="D2090">
        <v>2009067</v>
      </c>
      <c r="I2090">
        <v>25</v>
      </c>
    </row>
    <row r="2091" spans="1:12" x14ac:dyDescent="0.2">
      <c r="A2091" t="s">
        <v>55</v>
      </c>
      <c r="B2091" t="s">
        <v>110</v>
      </c>
      <c r="C2091" t="s">
        <v>195</v>
      </c>
      <c r="D2091">
        <v>876191.15</v>
      </c>
      <c r="E2091">
        <v>859868.1</v>
      </c>
      <c r="F2091">
        <v>855569.97</v>
      </c>
      <c r="G2091">
        <v>855244.44</v>
      </c>
      <c r="I2091">
        <v>155079.74</v>
      </c>
      <c r="J2091">
        <v>265787.28999999998</v>
      </c>
      <c r="K2091">
        <v>305303.03000000003</v>
      </c>
      <c r="L2091">
        <v>325748.84999999998</v>
      </c>
    </row>
    <row r="2092" spans="1:12" x14ac:dyDescent="0.2">
      <c r="A2092" t="s">
        <v>55</v>
      </c>
      <c r="B2092" t="s">
        <v>110</v>
      </c>
      <c r="C2092" t="s">
        <v>196</v>
      </c>
      <c r="D2092">
        <v>1006927.61</v>
      </c>
      <c r="E2092">
        <v>985598.44</v>
      </c>
      <c r="F2092">
        <v>982607.38</v>
      </c>
      <c r="I2092">
        <v>220506.31</v>
      </c>
      <c r="J2092">
        <v>319908.26</v>
      </c>
      <c r="K2092">
        <v>357588.04</v>
      </c>
    </row>
    <row r="2093" spans="1:12" x14ac:dyDescent="0.2">
      <c r="A2093" t="s">
        <v>55</v>
      </c>
      <c r="B2093" t="s">
        <v>110</v>
      </c>
      <c r="C2093" t="s">
        <v>197</v>
      </c>
      <c r="D2093">
        <v>1050956.76</v>
      </c>
      <c r="E2093">
        <v>1030713.65</v>
      </c>
      <c r="I2093">
        <v>206967.21</v>
      </c>
      <c r="J2093">
        <v>314879.32</v>
      </c>
    </row>
    <row r="2094" spans="1:12" x14ac:dyDescent="0.2">
      <c r="A2094" t="s">
        <v>55</v>
      </c>
      <c r="B2094" t="s">
        <v>110</v>
      </c>
      <c r="C2094" t="s">
        <v>198</v>
      </c>
      <c r="D2094">
        <v>1003688.73</v>
      </c>
      <c r="I2094">
        <v>187691.4</v>
      </c>
    </row>
    <row r="2095" spans="1:12" x14ac:dyDescent="0.2">
      <c r="A2095" t="s">
        <v>55</v>
      </c>
      <c r="B2095" t="s">
        <v>116</v>
      </c>
      <c r="C2095" t="s">
        <v>195</v>
      </c>
      <c r="D2095">
        <v>150497.4</v>
      </c>
      <c r="E2095">
        <v>150111.4</v>
      </c>
      <c r="F2095">
        <v>148885.04999999999</v>
      </c>
      <c r="G2095">
        <v>148189.04999999999</v>
      </c>
      <c r="I2095">
        <v>4283.1400000000003</v>
      </c>
      <c r="J2095">
        <v>10945.51</v>
      </c>
      <c r="K2095">
        <v>15836.08</v>
      </c>
      <c r="L2095">
        <v>18432.29</v>
      </c>
    </row>
    <row r="2096" spans="1:12" x14ac:dyDescent="0.2">
      <c r="A2096" t="s">
        <v>55</v>
      </c>
      <c r="B2096" t="s">
        <v>116</v>
      </c>
      <c r="C2096" t="s">
        <v>196</v>
      </c>
      <c r="D2096">
        <v>145583.26</v>
      </c>
      <c r="E2096">
        <v>145458.06</v>
      </c>
      <c r="F2096">
        <v>144485.71</v>
      </c>
      <c r="I2096">
        <v>6253.68</v>
      </c>
      <c r="J2096">
        <v>12339.62</v>
      </c>
      <c r="K2096">
        <v>14842.72</v>
      </c>
    </row>
    <row r="2097" spans="1:12" x14ac:dyDescent="0.2">
      <c r="A2097" t="s">
        <v>55</v>
      </c>
      <c r="B2097" t="s">
        <v>116</v>
      </c>
      <c r="C2097" t="s">
        <v>197</v>
      </c>
      <c r="D2097">
        <v>164504.67000000001</v>
      </c>
      <c r="E2097">
        <v>164186.67000000001</v>
      </c>
      <c r="I2097">
        <v>7109</v>
      </c>
      <c r="J2097">
        <v>12747.62</v>
      </c>
    </row>
    <row r="2098" spans="1:12" x14ac:dyDescent="0.2">
      <c r="A2098" t="s">
        <v>55</v>
      </c>
      <c r="B2098" t="s">
        <v>116</v>
      </c>
      <c r="C2098" t="s">
        <v>198</v>
      </c>
      <c r="D2098">
        <v>122814.97</v>
      </c>
      <c r="I2098">
        <v>4747.6499999999996</v>
      </c>
    </row>
    <row r="2099" spans="1:12" x14ac:dyDescent="0.2">
      <c r="A2099" t="s">
        <v>55</v>
      </c>
      <c r="B2099" t="s">
        <v>114</v>
      </c>
      <c r="C2099" t="s">
        <v>195</v>
      </c>
      <c r="D2099">
        <v>658243.78</v>
      </c>
      <c r="E2099">
        <v>648217.94999999995</v>
      </c>
      <c r="F2099">
        <v>647452.4</v>
      </c>
      <c r="G2099">
        <v>647163.4</v>
      </c>
      <c r="I2099">
        <v>165634.15</v>
      </c>
      <c r="J2099">
        <v>262746.46000000002</v>
      </c>
      <c r="K2099">
        <v>303921.08</v>
      </c>
      <c r="L2099">
        <v>329972.82</v>
      </c>
    </row>
    <row r="2100" spans="1:12" x14ac:dyDescent="0.2">
      <c r="A2100" t="s">
        <v>55</v>
      </c>
      <c r="B2100" t="s">
        <v>114</v>
      </c>
      <c r="C2100" t="s">
        <v>196</v>
      </c>
      <c r="D2100">
        <v>751495.25</v>
      </c>
      <c r="E2100">
        <v>739705.79</v>
      </c>
      <c r="F2100">
        <v>736047.87</v>
      </c>
      <c r="I2100">
        <v>209373.02</v>
      </c>
      <c r="J2100">
        <v>307456.90999999997</v>
      </c>
      <c r="K2100">
        <v>357290.7</v>
      </c>
    </row>
    <row r="2101" spans="1:12" x14ac:dyDescent="0.2">
      <c r="A2101" t="s">
        <v>55</v>
      </c>
      <c r="B2101" t="s">
        <v>114</v>
      </c>
      <c r="C2101" t="s">
        <v>197</v>
      </c>
      <c r="D2101">
        <v>761510.09</v>
      </c>
      <c r="E2101">
        <v>754150</v>
      </c>
      <c r="I2101">
        <v>191157.57</v>
      </c>
      <c r="J2101">
        <v>283989.36</v>
      </c>
    </row>
    <row r="2102" spans="1:12" x14ac:dyDescent="0.2">
      <c r="A2102" t="s">
        <v>55</v>
      </c>
      <c r="B2102" t="s">
        <v>114</v>
      </c>
      <c r="C2102" t="s">
        <v>198</v>
      </c>
      <c r="D2102">
        <v>740788.59</v>
      </c>
      <c r="I2102">
        <v>173175.17</v>
      </c>
    </row>
    <row r="2103" spans="1:12" x14ac:dyDescent="0.2">
      <c r="A2103" t="s">
        <v>55</v>
      </c>
      <c r="B2103" t="s">
        <v>111</v>
      </c>
      <c r="C2103" t="s">
        <v>195</v>
      </c>
      <c r="D2103">
        <v>854573.1</v>
      </c>
      <c r="E2103">
        <v>854473.1</v>
      </c>
      <c r="F2103">
        <v>854078.1</v>
      </c>
      <c r="G2103">
        <v>854078.1</v>
      </c>
      <c r="I2103">
        <v>846563.46</v>
      </c>
      <c r="J2103">
        <v>847208.46</v>
      </c>
      <c r="K2103">
        <v>847208.46</v>
      </c>
      <c r="L2103">
        <v>847208.46</v>
      </c>
    </row>
    <row r="2104" spans="1:12" x14ac:dyDescent="0.2">
      <c r="A2104" t="s">
        <v>55</v>
      </c>
      <c r="B2104" t="s">
        <v>111</v>
      </c>
      <c r="C2104" t="s">
        <v>196</v>
      </c>
      <c r="D2104">
        <v>972471.76</v>
      </c>
      <c r="E2104">
        <v>972471.76</v>
      </c>
      <c r="F2104">
        <v>972471.76</v>
      </c>
      <c r="I2104">
        <v>949368.58</v>
      </c>
      <c r="J2104">
        <v>951173.69</v>
      </c>
      <c r="K2104">
        <v>951173.69</v>
      </c>
    </row>
    <row r="2105" spans="1:12" x14ac:dyDescent="0.2">
      <c r="A2105" t="s">
        <v>55</v>
      </c>
      <c r="B2105" t="s">
        <v>111</v>
      </c>
      <c r="C2105" t="s">
        <v>197</v>
      </c>
      <c r="D2105">
        <v>949457.35</v>
      </c>
      <c r="E2105">
        <v>949457.35</v>
      </c>
      <c r="I2105">
        <v>942002.35</v>
      </c>
      <c r="J2105">
        <v>943437.35</v>
      </c>
    </row>
    <row r="2106" spans="1:12" x14ac:dyDescent="0.2">
      <c r="A2106" t="s">
        <v>55</v>
      </c>
      <c r="B2106" t="s">
        <v>111</v>
      </c>
      <c r="C2106" t="s">
        <v>198</v>
      </c>
      <c r="D2106">
        <v>836094.9</v>
      </c>
      <c r="I2106">
        <v>824419.4</v>
      </c>
    </row>
    <row r="2107" spans="1:12" x14ac:dyDescent="0.2">
      <c r="A2107" t="s">
        <v>55</v>
      </c>
      <c r="B2107" t="s">
        <v>112</v>
      </c>
      <c r="C2107" t="s">
        <v>195</v>
      </c>
      <c r="D2107">
        <v>1103737.1200000001</v>
      </c>
      <c r="E2107">
        <v>1103442.1200000001</v>
      </c>
      <c r="F2107">
        <v>1103442.1200000001</v>
      </c>
      <c r="G2107">
        <v>1103442.1200000001</v>
      </c>
      <c r="I2107">
        <v>1100546.6200000001</v>
      </c>
      <c r="J2107">
        <v>1101021.1200000001</v>
      </c>
      <c r="K2107">
        <v>1101021.1200000001</v>
      </c>
      <c r="L2107">
        <v>1102302.1200000001</v>
      </c>
    </row>
    <row r="2108" spans="1:12" x14ac:dyDescent="0.2">
      <c r="A2108" t="s">
        <v>55</v>
      </c>
      <c r="B2108" t="s">
        <v>112</v>
      </c>
      <c r="C2108" t="s">
        <v>196</v>
      </c>
      <c r="D2108">
        <v>858354.77</v>
      </c>
      <c r="E2108">
        <v>858354.77</v>
      </c>
      <c r="F2108">
        <v>858354.77</v>
      </c>
      <c r="I2108">
        <v>855069.29</v>
      </c>
      <c r="J2108">
        <v>855234.29</v>
      </c>
      <c r="K2108">
        <v>855234.29</v>
      </c>
    </row>
    <row r="2109" spans="1:12" x14ac:dyDescent="0.2">
      <c r="A2109" t="s">
        <v>55</v>
      </c>
      <c r="B2109" t="s">
        <v>112</v>
      </c>
      <c r="C2109" t="s">
        <v>197</v>
      </c>
      <c r="D2109">
        <v>1065309.07</v>
      </c>
      <c r="E2109">
        <v>1065259.07</v>
      </c>
      <c r="I2109">
        <v>1063279.07</v>
      </c>
      <c r="J2109">
        <v>1063644.07</v>
      </c>
    </row>
    <row r="2110" spans="1:12" x14ac:dyDescent="0.2">
      <c r="A2110" t="s">
        <v>55</v>
      </c>
      <c r="B2110" t="s">
        <v>112</v>
      </c>
      <c r="C2110" t="s">
        <v>198</v>
      </c>
      <c r="D2110">
        <v>840722.78</v>
      </c>
      <c r="I2110">
        <v>837440.42</v>
      </c>
    </row>
    <row r="2111" spans="1:12" x14ac:dyDescent="0.2">
      <c r="A2111" t="s">
        <v>55</v>
      </c>
      <c r="B2111" t="s">
        <v>115</v>
      </c>
      <c r="C2111" t="s">
        <v>195</v>
      </c>
      <c r="D2111">
        <v>3495696.63</v>
      </c>
      <c r="E2111">
        <v>3419135.7</v>
      </c>
      <c r="F2111">
        <v>3416732.19</v>
      </c>
      <c r="G2111">
        <v>3417803.34</v>
      </c>
      <c r="I2111">
        <v>1404186.54</v>
      </c>
      <c r="J2111">
        <v>2650213.7799999998</v>
      </c>
      <c r="K2111">
        <v>2867628.63</v>
      </c>
      <c r="L2111">
        <v>2927906.47</v>
      </c>
    </row>
    <row r="2112" spans="1:12" x14ac:dyDescent="0.2">
      <c r="A2112" t="s">
        <v>55</v>
      </c>
      <c r="B2112" t="s">
        <v>115</v>
      </c>
      <c r="C2112" t="s">
        <v>196</v>
      </c>
      <c r="D2112">
        <v>3752750.1</v>
      </c>
      <c r="E2112">
        <v>3687808.17</v>
      </c>
      <c r="F2112">
        <v>3683367.85</v>
      </c>
      <c r="I2112">
        <v>1769250.89</v>
      </c>
      <c r="J2112">
        <v>2898601.79</v>
      </c>
      <c r="K2112">
        <v>3104201.04</v>
      </c>
    </row>
    <row r="2113" spans="1:12" x14ac:dyDescent="0.2">
      <c r="A2113" t="s">
        <v>55</v>
      </c>
      <c r="B2113" t="s">
        <v>115</v>
      </c>
      <c r="C2113" t="s">
        <v>197</v>
      </c>
      <c r="D2113">
        <v>3866683.31</v>
      </c>
      <c r="E2113">
        <v>3789745.33</v>
      </c>
      <c r="I2113">
        <v>1748477.91</v>
      </c>
      <c r="J2113">
        <v>2877675.87</v>
      </c>
    </row>
    <row r="2114" spans="1:12" x14ac:dyDescent="0.2">
      <c r="A2114" t="s">
        <v>55</v>
      </c>
      <c r="B2114" t="s">
        <v>115</v>
      </c>
      <c r="C2114" t="s">
        <v>198</v>
      </c>
      <c r="D2114">
        <v>4024540.65</v>
      </c>
      <c r="I2114">
        <v>1826752.83</v>
      </c>
    </row>
    <row r="2115" spans="1:12" x14ac:dyDescent="0.2">
      <c r="A2115" t="s">
        <v>55</v>
      </c>
      <c r="B2115" t="s">
        <v>113</v>
      </c>
      <c r="C2115" t="s">
        <v>195</v>
      </c>
      <c r="D2115">
        <v>177909.62</v>
      </c>
      <c r="E2115">
        <v>177909.62</v>
      </c>
      <c r="F2115">
        <v>177909.62</v>
      </c>
      <c r="G2115">
        <v>177909.62</v>
      </c>
      <c r="I2115">
        <v>176921.12</v>
      </c>
      <c r="J2115">
        <v>176921.12</v>
      </c>
      <c r="K2115">
        <v>176921.12</v>
      </c>
      <c r="L2115">
        <v>176921.12</v>
      </c>
    </row>
    <row r="2116" spans="1:12" x14ac:dyDescent="0.2">
      <c r="A2116" t="s">
        <v>55</v>
      </c>
      <c r="B2116" t="s">
        <v>113</v>
      </c>
      <c r="C2116" t="s">
        <v>196</v>
      </c>
      <c r="D2116">
        <v>194623.22</v>
      </c>
      <c r="E2116">
        <v>194623.22</v>
      </c>
      <c r="F2116">
        <v>194623.22</v>
      </c>
      <c r="I2116">
        <v>192898.22</v>
      </c>
      <c r="J2116">
        <v>193298.22</v>
      </c>
      <c r="K2116">
        <v>193339.22</v>
      </c>
    </row>
    <row r="2117" spans="1:12" x14ac:dyDescent="0.2">
      <c r="A2117" t="s">
        <v>55</v>
      </c>
      <c r="B2117" t="s">
        <v>113</v>
      </c>
      <c r="C2117" t="s">
        <v>197</v>
      </c>
      <c r="D2117">
        <v>202073.08</v>
      </c>
      <c r="E2117">
        <v>202073.08</v>
      </c>
      <c r="I2117">
        <v>200618.08</v>
      </c>
      <c r="J2117">
        <v>201632.08</v>
      </c>
    </row>
    <row r="2118" spans="1:12" x14ac:dyDescent="0.2">
      <c r="A2118" t="s">
        <v>55</v>
      </c>
      <c r="B2118" t="s">
        <v>113</v>
      </c>
      <c r="C2118" t="s">
        <v>198</v>
      </c>
      <c r="D2118">
        <v>171640.12</v>
      </c>
      <c r="I2118">
        <v>167724.62</v>
      </c>
    </row>
    <row r="2119" spans="1:12" x14ac:dyDescent="0.2">
      <c r="A2119" t="s">
        <v>55</v>
      </c>
      <c r="B2119" t="s">
        <v>72</v>
      </c>
      <c r="C2119" t="s">
        <v>195</v>
      </c>
      <c r="D2119">
        <v>225455.41</v>
      </c>
      <c r="E2119">
        <v>225455.41</v>
      </c>
      <c r="F2119">
        <v>225455.41</v>
      </c>
      <c r="G2119">
        <v>225455.41</v>
      </c>
      <c r="I2119">
        <v>223225.41</v>
      </c>
      <c r="J2119">
        <v>223225.41</v>
      </c>
      <c r="K2119">
        <v>223225.41</v>
      </c>
      <c r="L2119">
        <v>223225.41</v>
      </c>
    </row>
    <row r="2120" spans="1:12" x14ac:dyDescent="0.2">
      <c r="A2120" t="s">
        <v>55</v>
      </c>
      <c r="B2120" t="s">
        <v>72</v>
      </c>
      <c r="C2120" t="s">
        <v>196</v>
      </c>
      <c r="D2120">
        <v>260847.87</v>
      </c>
      <c r="E2120">
        <v>260439.87</v>
      </c>
      <c r="F2120">
        <v>260439.87</v>
      </c>
      <c r="I2120">
        <v>253310.14</v>
      </c>
      <c r="J2120">
        <v>254138.14</v>
      </c>
      <c r="K2120">
        <v>254138.14</v>
      </c>
    </row>
    <row r="2121" spans="1:12" x14ac:dyDescent="0.2">
      <c r="A2121" t="s">
        <v>55</v>
      </c>
      <c r="B2121" t="s">
        <v>72</v>
      </c>
      <c r="C2121" t="s">
        <v>197</v>
      </c>
      <c r="D2121">
        <v>314765.93</v>
      </c>
      <c r="E2121">
        <v>314765.93</v>
      </c>
      <c r="I2121">
        <v>308164.93</v>
      </c>
      <c r="J2121">
        <v>309494.93</v>
      </c>
    </row>
    <row r="2122" spans="1:12" x14ac:dyDescent="0.2">
      <c r="A2122" t="s">
        <v>55</v>
      </c>
      <c r="B2122" t="s">
        <v>72</v>
      </c>
      <c r="C2122" t="s">
        <v>198</v>
      </c>
      <c r="D2122">
        <v>275614.5</v>
      </c>
      <c r="I2122">
        <v>267568</v>
      </c>
    </row>
    <row r="2123" spans="1:12" x14ac:dyDescent="0.2">
      <c r="A2123" t="s">
        <v>56</v>
      </c>
      <c r="B2123" t="s">
        <v>109</v>
      </c>
      <c r="C2123" t="s">
        <v>195</v>
      </c>
      <c r="D2123">
        <v>488784.15</v>
      </c>
      <c r="E2123">
        <v>488784.15</v>
      </c>
      <c r="F2123">
        <v>489214.15</v>
      </c>
      <c r="G2123">
        <v>487776.66</v>
      </c>
      <c r="I2123">
        <v>1843.55</v>
      </c>
      <c r="J2123">
        <v>5885.21</v>
      </c>
      <c r="K2123">
        <v>8957.6</v>
      </c>
      <c r="L2123">
        <v>11474.05</v>
      </c>
    </row>
    <row r="2124" spans="1:12" x14ac:dyDescent="0.2">
      <c r="A2124" t="s">
        <v>56</v>
      </c>
      <c r="B2124" t="s">
        <v>109</v>
      </c>
      <c r="C2124" t="s">
        <v>196</v>
      </c>
      <c r="D2124">
        <v>362490.7</v>
      </c>
      <c r="E2124">
        <v>360692.7</v>
      </c>
      <c r="F2124">
        <v>360542.7</v>
      </c>
      <c r="I2124">
        <v>2995.67</v>
      </c>
      <c r="J2124">
        <v>6318.38</v>
      </c>
      <c r="K2124">
        <v>8041.75</v>
      </c>
    </row>
    <row r="2125" spans="1:12" x14ac:dyDescent="0.2">
      <c r="A2125" t="s">
        <v>56</v>
      </c>
      <c r="B2125" t="s">
        <v>109</v>
      </c>
      <c r="C2125" t="s">
        <v>197</v>
      </c>
      <c r="D2125">
        <v>259646.14</v>
      </c>
      <c r="E2125">
        <v>260376.14</v>
      </c>
      <c r="I2125">
        <v>5279.66</v>
      </c>
      <c r="J2125">
        <v>8164.19</v>
      </c>
    </row>
    <row r="2126" spans="1:12" x14ac:dyDescent="0.2">
      <c r="A2126" t="s">
        <v>56</v>
      </c>
      <c r="B2126" t="s">
        <v>109</v>
      </c>
      <c r="C2126" t="s">
        <v>198</v>
      </c>
      <c r="D2126">
        <v>157994.93</v>
      </c>
      <c r="I2126">
        <v>1334.79</v>
      </c>
    </row>
    <row r="2127" spans="1:12" x14ac:dyDescent="0.2">
      <c r="A2127" t="s">
        <v>56</v>
      </c>
      <c r="B2127" t="s">
        <v>145</v>
      </c>
      <c r="C2127" t="s">
        <v>195</v>
      </c>
      <c r="D2127">
        <v>316160</v>
      </c>
      <c r="E2127">
        <v>316160</v>
      </c>
      <c r="F2127">
        <v>316160</v>
      </c>
      <c r="I2127">
        <v>0</v>
      </c>
      <c r="J2127">
        <v>0</v>
      </c>
      <c r="K2127">
        <v>0</v>
      </c>
    </row>
    <row r="2128" spans="1:12" x14ac:dyDescent="0.2">
      <c r="A2128" t="s">
        <v>56</v>
      </c>
      <c r="B2128" t="s">
        <v>145</v>
      </c>
      <c r="C2128" t="s">
        <v>196</v>
      </c>
      <c r="D2128">
        <v>158710</v>
      </c>
      <c r="E2128">
        <v>158710</v>
      </c>
      <c r="I2128">
        <v>0</v>
      </c>
      <c r="J2128">
        <v>0</v>
      </c>
    </row>
    <row r="2129" spans="1:12" x14ac:dyDescent="0.2">
      <c r="A2129" t="s">
        <v>56</v>
      </c>
      <c r="B2129" t="s">
        <v>145</v>
      </c>
      <c r="C2129" t="s">
        <v>197</v>
      </c>
      <c r="D2129">
        <v>53180</v>
      </c>
      <c r="I2129">
        <v>0</v>
      </c>
    </row>
    <row r="2130" spans="1:12" x14ac:dyDescent="0.2">
      <c r="A2130" t="s">
        <v>56</v>
      </c>
      <c r="B2130" t="s">
        <v>145</v>
      </c>
      <c r="C2130" t="s">
        <v>198</v>
      </c>
      <c r="D2130">
        <v>0</v>
      </c>
      <c r="I2130">
        <v>0</v>
      </c>
    </row>
    <row r="2131" spans="1:12" x14ac:dyDescent="0.2">
      <c r="A2131" t="s">
        <v>56</v>
      </c>
      <c r="B2131" t="s">
        <v>110</v>
      </c>
      <c r="C2131" t="s">
        <v>195</v>
      </c>
      <c r="D2131">
        <v>65794.3</v>
      </c>
      <c r="E2131">
        <v>65324.3</v>
      </c>
      <c r="F2131">
        <v>65339.3</v>
      </c>
      <c r="G2131">
        <v>65339.3</v>
      </c>
      <c r="I2131">
        <v>4660.84</v>
      </c>
      <c r="J2131">
        <v>11083.04</v>
      </c>
      <c r="K2131">
        <v>16818.86</v>
      </c>
      <c r="L2131">
        <v>18210.52</v>
      </c>
    </row>
    <row r="2132" spans="1:12" x14ac:dyDescent="0.2">
      <c r="A2132" t="s">
        <v>56</v>
      </c>
      <c r="B2132" t="s">
        <v>110</v>
      </c>
      <c r="C2132" t="s">
        <v>196</v>
      </c>
      <c r="D2132">
        <v>71675.78</v>
      </c>
      <c r="E2132">
        <v>72492.62</v>
      </c>
      <c r="F2132">
        <v>72165.960000000006</v>
      </c>
      <c r="I2132">
        <v>5997.8</v>
      </c>
      <c r="J2132">
        <v>15640.66</v>
      </c>
      <c r="K2132">
        <v>21211.47</v>
      </c>
    </row>
    <row r="2133" spans="1:12" x14ac:dyDescent="0.2">
      <c r="A2133" t="s">
        <v>56</v>
      </c>
      <c r="B2133" t="s">
        <v>110</v>
      </c>
      <c r="C2133" t="s">
        <v>197</v>
      </c>
      <c r="D2133">
        <v>70028.039999999994</v>
      </c>
      <c r="E2133">
        <v>69793.039999999994</v>
      </c>
      <c r="I2133">
        <v>5321.52</v>
      </c>
      <c r="J2133">
        <v>13891.01</v>
      </c>
    </row>
    <row r="2134" spans="1:12" x14ac:dyDescent="0.2">
      <c r="A2134" t="s">
        <v>56</v>
      </c>
      <c r="B2134" t="s">
        <v>110</v>
      </c>
      <c r="C2134" t="s">
        <v>198</v>
      </c>
      <c r="D2134">
        <v>76219.789999999994</v>
      </c>
      <c r="I2134">
        <v>6559.07</v>
      </c>
    </row>
    <row r="2135" spans="1:12" x14ac:dyDescent="0.2">
      <c r="A2135" t="s">
        <v>56</v>
      </c>
      <c r="B2135" t="s">
        <v>116</v>
      </c>
      <c r="C2135" t="s">
        <v>195</v>
      </c>
      <c r="D2135">
        <v>770</v>
      </c>
      <c r="E2135">
        <v>770</v>
      </c>
      <c r="F2135">
        <v>1630</v>
      </c>
      <c r="G2135">
        <v>1630</v>
      </c>
      <c r="I2135">
        <v>0</v>
      </c>
      <c r="J2135">
        <v>0</v>
      </c>
      <c r="K2135">
        <v>0</v>
      </c>
      <c r="L2135">
        <v>0</v>
      </c>
    </row>
    <row r="2136" spans="1:12" x14ac:dyDescent="0.2">
      <c r="A2136" t="s">
        <v>56</v>
      </c>
      <c r="B2136" t="s">
        <v>116</v>
      </c>
      <c r="C2136" t="s">
        <v>196</v>
      </c>
      <c r="D2136">
        <v>1120</v>
      </c>
      <c r="E2136">
        <v>1120</v>
      </c>
      <c r="F2136">
        <v>1120</v>
      </c>
      <c r="I2136">
        <v>50</v>
      </c>
      <c r="J2136">
        <v>150</v>
      </c>
      <c r="K2136">
        <v>150</v>
      </c>
    </row>
    <row r="2137" spans="1:12" x14ac:dyDescent="0.2">
      <c r="A2137" t="s">
        <v>56</v>
      </c>
      <c r="B2137" t="s">
        <v>116</v>
      </c>
      <c r="C2137" t="s">
        <v>197</v>
      </c>
      <c r="D2137">
        <v>2750</v>
      </c>
      <c r="E2137">
        <v>2750</v>
      </c>
      <c r="I2137">
        <v>0</v>
      </c>
      <c r="J2137">
        <v>0</v>
      </c>
    </row>
    <row r="2138" spans="1:12" x14ac:dyDescent="0.2">
      <c r="A2138" t="s">
        <v>56</v>
      </c>
      <c r="B2138" t="s">
        <v>116</v>
      </c>
      <c r="C2138" t="s">
        <v>198</v>
      </c>
      <c r="D2138">
        <v>5350</v>
      </c>
      <c r="I2138">
        <v>0</v>
      </c>
    </row>
    <row r="2139" spans="1:12" x14ac:dyDescent="0.2">
      <c r="A2139" t="s">
        <v>56</v>
      </c>
      <c r="B2139" t="s">
        <v>114</v>
      </c>
      <c r="C2139" t="s">
        <v>195</v>
      </c>
      <c r="D2139">
        <v>71107.839999999997</v>
      </c>
      <c r="E2139">
        <v>71377.84</v>
      </c>
      <c r="F2139">
        <v>71377.84</v>
      </c>
      <c r="G2139">
        <v>71377.84</v>
      </c>
      <c r="I2139">
        <v>13914</v>
      </c>
      <c r="J2139">
        <v>27940.74</v>
      </c>
      <c r="K2139">
        <v>38439.24</v>
      </c>
      <c r="L2139">
        <v>41010.660000000003</v>
      </c>
    </row>
    <row r="2140" spans="1:12" x14ac:dyDescent="0.2">
      <c r="A2140" t="s">
        <v>56</v>
      </c>
      <c r="B2140" t="s">
        <v>114</v>
      </c>
      <c r="C2140" t="s">
        <v>196</v>
      </c>
      <c r="D2140">
        <v>72524.44</v>
      </c>
      <c r="E2140">
        <v>74202.44</v>
      </c>
      <c r="F2140">
        <v>70072.44</v>
      </c>
      <c r="I2140">
        <v>19334.07</v>
      </c>
      <c r="J2140">
        <v>39384.69</v>
      </c>
      <c r="K2140">
        <v>42765.98</v>
      </c>
    </row>
    <row r="2141" spans="1:12" x14ac:dyDescent="0.2">
      <c r="A2141" t="s">
        <v>56</v>
      </c>
      <c r="B2141" t="s">
        <v>114</v>
      </c>
      <c r="C2141" t="s">
        <v>197</v>
      </c>
      <c r="D2141">
        <v>73087.44</v>
      </c>
      <c r="E2141">
        <v>73187.44</v>
      </c>
      <c r="I2141">
        <v>15804.35</v>
      </c>
      <c r="J2141">
        <v>30634.28</v>
      </c>
    </row>
    <row r="2142" spans="1:12" x14ac:dyDescent="0.2">
      <c r="A2142" t="s">
        <v>56</v>
      </c>
      <c r="B2142" t="s">
        <v>114</v>
      </c>
      <c r="C2142" t="s">
        <v>198</v>
      </c>
      <c r="D2142">
        <v>58733.599999999999</v>
      </c>
      <c r="I2142">
        <v>15157.98</v>
      </c>
    </row>
    <row r="2143" spans="1:12" x14ac:dyDescent="0.2">
      <c r="A2143" t="s">
        <v>56</v>
      </c>
      <c r="B2143" t="s">
        <v>111</v>
      </c>
      <c r="C2143" t="s">
        <v>195</v>
      </c>
      <c r="D2143">
        <v>70203.320000000007</v>
      </c>
      <c r="E2143">
        <v>70203.320000000007</v>
      </c>
      <c r="F2143">
        <v>70203.320000000007</v>
      </c>
      <c r="G2143">
        <v>70203.320000000007</v>
      </c>
      <c r="I2143">
        <v>70203.320000000007</v>
      </c>
      <c r="J2143">
        <v>70203.320000000007</v>
      </c>
      <c r="K2143">
        <v>70203.320000000007</v>
      </c>
      <c r="L2143">
        <v>70203.320000000007</v>
      </c>
    </row>
    <row r="2144" spans="1:12" x14ac:dyDescent="0.2">
      <c r="A2144" t="s">
        <v>56</v>
      </c>
      <c r="B2144" t="s">
        <v>111</v>
      </c>
      <c r="C2144" t="s">
        <v>196</v>
      </c>
      <c r="D2144">
        <v>84167</v>
      </c>
      <c r="E2144">
        <v>84167</v>
      </c>
      <c r="F2144">
        <v>82000</v>
      </c>
      <c r="I2144">
        <v>82247</v>
      </c>
      <c r="J2144">
        <v>83752</v>
      </c>
      <c r="K2144">
        <v>81605</v>
      </c>
    </row>
    <row r="2145" spans="1:12" x14ac:dyDescent="0.2">
      <c r="A2145" t="s">
        <v>56</v>
      </c>
      <c r="B2145" t="s">
        <v>111</v>
      </c>
      <c r="C2145" t="s">
        <v>197</v>
      </c>
      <c r="D2145">
        <v>91522</v>
      </c>
      <c r="E2145">
        <v>91522</v>
      </c>
      <c r="I2145">
        <v>87249.5</v>
      </c>
      <c r="J2145">
        <v>91382</v>
      </c>
    </row>
    <row r="2146" spans="1:12" x14ac:dyDescent="0.2">
      <c r="A2146" t="s">
        <v>56</v>
      </c>
      <c r="B2146" t="s">
        <v>111</v>
      </c>
      <c r="C2146" t="s">
        <v>198</v>
      </c>
      <c r="D2146">
        <v>63186.83</v>
      </c>
      <c r="I2146">
        <v>60304.83</v>
      </c>
    </row>
    <row r="2147" spans="1:12" x14ac:dyDescent="0.2">
      <c r="A2147" t="s">
        <v>56</v>
      </c>
      <c r="B2147" t="s">
        <v>112</v>
      </c>
      <c r="C2147" t="s">
        <v>195</v>
      </c>
      <c r="D2147">
        <v>51138.77</v>
      </c>
      <c r="E2147">
        <v>51138.77</v>
      </c>
      <c r="F2147">
        <v>51138.77</v>
      </c>
      <c r="G2147">
        <v>51138.77</v>
      </c>
      <c r="I2147">
        <v>50838.77</v>
      </c>
      <c r="J2147">
        <v>50838.77</v>
      </c>
      <c r="K2147">
        <v>50838.77</v>
      </c>
      <c r="L2147">
        <v>50838.77</v>
      </c>
    </row>
    <row r="2148" spans="1:12" x14ac:dyDescent="0.2">
      <c r="A2148" t="s">
        <v>56</v>
      </c>
      <c r="B2148" t="s">
        <v>112</v>
      </c>
      <c r="C2148" t="s">
        <v>196</v>
      </c>
      <c r="D2148">
        <v>76556.27</v>
      </c>
      <c r="E2148">
        <v>76375.86</v>
      </c>
      <c r="F2148">
        <v>74810.86</v>
      </c>
      <c r="I2148">
        <v>75371.27</v>
      </c>
      <c r="J2148">
        <v>76375.86</v>
      </c>
      <c r="K2148">
        <v>74810.86</v>
      </c>
    </row>
    <row r="2149" spans="1:12" x14ac:dyDescent="0.2">
      <c r="A2149" t="s">
        <v>56</v>
      </c>
      <c r="B2149" t="s">
        <v>112</v>
      </c>
      <c r="C2149" t="s">
        <v>197</v>
      </c>
      <c r="D2149">
        <v>75630.63</v>
      </c>
      <c r="E2149">
        <v>74680.63</v>
      </c>
      <c r="I2149">
        <v>70735.63</v>
      </c>
      <c r="J2149">
        <v>73825.63</v>
      </c>
    </row>
    <row r="2150" spans="1:12" x14ac:dyDescent="0.2">
      <c r="A2150" t="s">
        <v>56</v>
      </c>
      <c r="B2150" t="s">
        <v>112</v>
      </c>
      <c r="C2150" t="s">
        <v>198</v>
      </c>
      <c r="D2150">
        <v>56468.98</v>
      </c>
      <c r="I2150">
        <v>54773.98</v>
      </c>
    </row>
    <row r="2151" spans="1:12" x14ac:dyDescent="0.2">
      <c r="A2151" t="s">
        <v>56</v>
      </c>
      <c r="B2151" t="s">
        <v>115</v>
      </c>
      <c r="C2151" t="s">
        <v>195</v>
      </c>
      <c r="D2151">
        <v>163265.75</v>
      </c>
      <c r="E2151">
        <v>231492.25</v>
      </c>
      <c r="F2151">
        <v>228079.45</v>
      </c>
      <c r="G2151">
        <v>214291.05</v>
      </c>
      <c r="I2151">
        <v>42013.25</v>
      </c>
      <c r="J2151">
        <v>98933.25</v>
      </c>
      <c r="K2151">
        <v>117943.93</v>
      </c>
      <c r="L2151">
        <v>130944.93</v>
      </c>
    </row>
    <row r="2152" spans="1:12" x14ac:dyDescent="0.2">
      <c r="A2152" t="s">
        <v>56</v>
      </c>
      <c r="B2152" t="s">
        <v>115</v>
      </c>
      <c r="C2152" t="s">
        <v>196</v>
      </c>
      <c r="D2152">
        <v>188559.25</v>
      </c>
      <c r="E2152">
        <v>264140.90000000002</v>
      </c>
      <c r="F2152">
        <v>251908.45</v>
      </c>
      <c r="I2152">
        <v>61825.75</v>
      </c>
      <c r="J2152">
        <v>120819.9</v>
      </c>
      <c r="K2152">
        <v>133459.5</v>
      </c>
    </row>
    <row r="2153" spans="1:12" x14ac:dyDescent="0.2">
      <c r="A2153" t="s">
        <v>56</v>
      </c>
      <c r="B2153" t="s">
        <v>115</v>
      </c>
      <c r="C2153" t="s">
        <v>197</v>
      </c>
      <c r="D2153">
        <v>180025.03</v>
      </c>
      <c r="E2153">
        <v>261840.28</v>
      </c>
      <c r="I2153">
        <v>47897.65</v>
      </c>
      <c r="J2153">
        <v>98511.05</v>
      </c>
    </row>
    <row r="2154" spans="1:12" x14ac:dyDescent="0.2">
      <c r="A2154" t="s">
        <v>56</v>
      </c>
      <c r="B2154" t="s">
        <v>115</v>
      </c>
      <c r="C2154" t="s">
        <v>198</v>
      </c>
      <c r="D2154">
        <v>164509.5</v>
      </c>
      <c r="I2154">
        <v>41076.5</v>
      </c>
    </row>
    <row r="2155" spans="1:12" x14ac:dyDescent="0.2">
      <c r="A2155" t="s">
        <v>56</v>
      </c>
      <c r="B2155" t="s">
        <v>113</v>
      </c>
      <c r="C2155" t="s">
        <v>195</v>
      </c>
      <c r="D2155">
        <v>29015</v>
      </c>
      <c r="E2155">
        <v>29015</v>
      </c>
      <c r="F2155">
        <v>29015</v>
      </c>
      <c r="G2155">
        <v>29015</v>
      </c>
      <c r="I2155">
        <v>27814</v>
      </c>
      <c r="J2155">
        <v>28784</v>
      </c>
      <c r="K2155">
        <v>28784</v>
      </c>
      <c r="L2155">
        <v>28784</v>
      </c>
    </row>
    <row r="2156" spans="1:12" x14ac:dyDescent="0.2">
      <c r="A2156" t="s">
        <v>56</v>
      </c>
      <c r="B2156" t="s">
        <v>113</v>
      </c>
      <c r="C2156" t="s">
        <v>196</v>
      </c>
      <c r="D2156">
        <v>26716</v>
      </c>
      <c r="E2156">
        <v>26716</v>
      </c>
      <c r="F2156">
        <v>26675</v>
      </c>
      <c r="I2156">
        <v>26002</v>
      </c>
      <c r="J2156">
        <v>26254</v>
      </c>
      <c r="K2156">
        <v>26213</v>
      </c>
    </row>
    <row r="2157" spans="1:12" x14ac:dyDescent="0.2">
      <c r="A2157" t="s">
        <v>56</v>
      </c>
      <c r="B2157" t="s">
        <v>113</v>
      </c>
      <c r="C2157" t="s">
        <v>197</v>
      </c>
      <c r="D2157">
        <v>42413.72</v>
      </c>
      <c r="E2157">
        <v>42413.72</v>
      </c>
      <c r="I2157">
        <v>42013.72</v>
      </c>
      <c r="J2157">
        <v>42413.72</v>
      </c>
    </row>
    <row r="2158" spans="1:12" x14ac:dyDescent="0.2">
      <c r="A2158" t="s">
        <v>56</v>
      </c>
      <c r="B2158" t="s">
        <v>113</v>
      </c>
      <c r="C2158" t="s">
        <v>198</v>
      </c>
      <c r="D2158">
        <v>22431.64</v>
      </c>
      <c r="I2158">
        <v>21515.64</v>
      </c>
    </row>
    <row r="2159" spans="1:12" x14ac:dyDescent="0.2">
      <c r="A2159" t="s">
        <v>56</v>
      </c>
      <c r="B2159" t="s">
        <v>72</v>
      </c>
      <c r="C2159" t="s">
        <v>195</v>
      </c>
      <c r="D2159">
        <v>30397.5</v>
      </c>
      <c r="E2159">
        <v>30005</v>
      </c>
      <c r="F2159">
        <v>30005</v>
      </c>
      <c r="G2159">
        <v>30005</v>
      </c>
      <c r="I2159">
        <v>28470</v>
      </c>
      <c r="J2159">
        <v>29115</v>
      </c>
      <c r="K2159">
        <v>29386</v>
      </c>
      <c r="L2159">
        <v>29435.7</v>
      </c>
    </row>
    <row r="2160" spans="1:12" x14ac:dyDescent="0.2">
      <c r="A2160" t="s">
        <v>56</v>
      </c>
      <c r="B2160" t="s">
        <v>72</v>
      </c>
      <c r="C2160" t="s">
        <v>196</v>
      </c>
      <c r="D2160">
        <v>53470.65</v>
      </c>
      <c r="E2160">
        <v>50722.65</v>
      </c>
      <c r="F2160">
        <v>50026.65</v>
      </c>
      <c r="I2160">
        <v>42380.54</v>
      </c>
      <c r="J2160">
        <v>45652.88</v>
      </c>
      <c r="K2160">
        <v>45370.879999999997</v>
      </c>
    </row>
    <row r="2161" spans="1:12" x14ac:dyDescent="0.2">
      <c r="A2161" t="s">
        <v>56</v>
      </c>
      <c r="B2161" t="s">
        <v>72</v>
      </c>
      <c r="C2161" t="s">
        <v>197</v>
      </c>
      <c r="D2161">
        <v>40093.35</v>
      </c>
      <c r="E2161">
        <v>40093.35</v>
      </c>
      <c r="I2161">
        <v>34939.35</v>
      </c>
      <c r="J2161">
        <v>36235.35</v>
      </c>
    </row>
    <row r="2162" spans="1:12" x14ac:dyDescent="0.2">
      <c r="A2162" t="s">
        <v>56</v>
      </c>
      <c r="B2162" t="s">
        <v>72</v>
      </c>
      <c r="C2162" t="s">
        <v>198</v>
      </c>
      <c r="D2162">
        <v>34516.199999999997</v>
      </c>
      <c r="I2162">
        <v>28496.03</v>
      </c>
    </row>
    <row r="2163" spans="1:12" x14ac:dyDescent="0.2">
      <c r="A2163" t="s">
        <v>57</v>
      </c>
      <c r="B2163" t="s">
        <v>109</v>
      </c>
      <c r="C2163" t="s">
        <v>195</v>
      </c>
      <c r="D2163">
        <v>1114592.6599999999</v>
      </c>
      <c r="E2163">
        <v>1113574.6599999999</v>
      </c>
      <c r="F2163">
        <v>1111728.6599999999</v>
      </c>
      <c r="G2163">
        <v>1110628.6599999999</v>
      </c>
      <c r="I2163">
        <v>13063.6</v>
      </c>
      <c r="J2163">
        <v>40132.26</v>
      </c>
      <c r="K2163">
        <v>54837.85</v>
      </c>
      <c r="L2163">
        <v>63446</v>
      </c>
    </row>
    <row r="2164" spans="1:12" x14ac:dyDescent="0.2">
      <c r="A2164" t="s">
        <v>57</v>
      </c>
      <c r="B2164" t="s">
        <v>109</v>
      </c>
      <c r="C2164" t="s">
        <v>196</v>
      </c>
      <c r="D2164">
        <v>367574.91</v>
      </c>
      <c r="E2164">
        <v>368431.91</v>
      </c>
      <c r="F2164">
        <v>367972.91</v>
      </c>
      <c r="I2164">
        <v>16148.47</v>
      </c>
      <c r="J2164">
        <v>41691.49</v>
      </c>
      <c r="K2164">
        <v>53099.93</v>
      </c>
    </row>
    <row r="2165" spans="1:12" x14ac:dyDescent="0.2">
      <c r="A2165" t="s">
        <v>57</v>
      </c>
      <c r="B2165" t="s">
        <v>109</v>
      </c>
      <c r="C2165" t="s">
        <v>197</v>
      </c>
      <c r="D2165">
        <v>577623.81000000006</v>
      </c>
      <c r="E2165">
        <v>576873.81000000006</v>
      </c>
      <c r="I2165">
        <v>18982.32</v>
      </c>
      <c r="J2165">
        <v>32904.18</v>
      </c>
    </row>
    <row r="2166" spans="1:12" x14ac:dyDescent="0.2">
      <c r="A2166" t="s">
        <v>57</v>
      </c>
      <c r="B2166" t="s">
        <v>109</v>
      </c>
      <c r="C2166" t="s">
        <v>198</v>
      </c>
      <c r="D2166">
        <v>658939.69999999995</v>
      </c>
      <c r="I2166">
        <v>16922.009999999998</v>
      </c>
    </row>
    <row r="2167" spans="1:12" x14ac:dyDescent="0.2">
      <c r="A2167" t="s">
        <v>57</v>
      </c>
      <c r="B2167" t="s">
        <v>145</v>
      </c>
      <c r="C2167" t="s">
        <v>195</v>
      </c>
      <c r="D2167">
        <v>652656</v>
      </c>
      <c r="E2167">
        <v>652656</v>
      </c>
      <c r="F2167">
        <v>755188.44</v>
      </c>
      <c r="G2167">
        <v>755188.44</v>
      </c>
      <c r="I2167">
        <v>0</v>
      </c>
      <c r="J2167">
        <v>0</v>
      </c>
      <c r="K2167">
        <v>92.44</v>
      </c>
      <c r="L2167">
        <v>92.44</v>
      </c>
    </row>
    <row r="2168" spans="1:12" x14ac:dyDescent="0.2">
      <c r="A2168" t="s">
        <v>57</v>
      </c>
      <c r="B2168" t="s">
        <v>145</v>
      </c>
      <c r="C2168" t="s">
        <v>196</v>
      </c>
      <c r="D2168">
        <v>51253</v>
      </c>
      <c r="E2168">
        <v>51253</v>
      </c>
      <c r="F2168">
        <v>51515.5</v>
      </c>
      <c r="I2168">
        <v>0</v>
      </c>
      <c r="J2168">
        <v>188.5</v>
      </c>
      <c r="K2168">
        <v>213.5</v>
      </c>
    </row>
    <row r="2169" spans="1:12" x14ac:dyDescent="0.2">
      <c r="A2169" t="s">
        <v>57</v>
      </c>
      <c r="B2169" t="s">
        <v>145</v>
      </c>
      <c r="C2169" t="s">
        <v>197</v>
      </c>
      <c r="D2169">
        <v>255051.75</v>
      </c>
      <c r="E2169">
        <v>255051.75</v>
      </c>
      <c r="I2169">
        <v>139</v>
      </c>
      <c r="J2169">
        <v>139</v>
      </c>
    </row>
    <row r="2170" spans="1:12" x14ac:dyDescent="0.2">
      <c r="A2170" t="s">
        <v>57</v>
      </c>
      <c r="B2170" t="s">
        <v>145</v>
      </c>
      <c r="C2170" t="s">
        <v>198</v>
      </c>
      <c r="D2170">
        <v>303582</v>
      </c>
      <c r="I2170">
        <v>25</v>
      </c>
    </row>
    <row r="2171" spans="1:12" x14ac:dyDescent="0.2">
      <c r="A2171" t="s">
        <v>57</v>
      </c>
      <c r="B2171" t="s">
        <v>110</v>
      </c>
      <c r="C2171" t="s">
        <v>195</v>
      </c>
      <c r="D2171">
        <v>150379.54</v>
      </c>
      <c r="E2171">
        <v>149286.71</v>
      </c>
      <c r="F2171">
        <v>148254.82</v>
      </c>
      <c r="G2171">
        <v>148129.82</v>
      </c>
      <c r="I2171">
        <v>32307.11</v>
      </c>
      <c r="J2171">
        <v>49760.51</v>
      </c>
      <c r="K2171">
        <v>59399.61</v>
      </c>
      <c r="L2171">
        <v>65213.69</v>
      </c>
    </row>
    <row r="2172" spans="1:12" x14ac:dyDescent="0.2">
      <c r="A2172" t="s">
        <v>57</v>
      </c>
      <c r="B2172" t="s">
        <v>110</v>
      </c>
      <c r="C2172" t="s">
        <v>196</v>
      </c>
      <c r="D2172">
        <v>168072.37</v>
      </c>
      <c r="E2172">
        <v>166153.62</v>
      </c>
      <c r="F2172">
        <v>164628.01999999999</v>
      </c>
      <c r="I2172">
        <v>41100.5</v>
      </c>
      <c r="J2172">
        <v>63415.48</v>
      </c>
      <c r="K2172">
        <v>76145.47</v>
      </c>
    </row>
    <row r="2173" spans="1:12" x14ac:dyDescent="0.2">
      <c r="A2173" t="s">
        <v>57</v>
      </c>
      <c r="B2173" t="s">
        <v>110</v>
      </c>
      <c r="C2173" t="s">
        <v>197</v>
      </c>
      <c r="D2173">
        <v>150258.21</v>
      </c>
      <c r="E2173">
        <v>149144.21</v>
      </c>
      <c r="I2173">
        <v>35198.53</v>
      </c>
      <c r="J2173">
        <v>53356.55</v>
      </c>
    </row>
    <row r="2174" spans="1:12" x14ac:dyDescent="0.2">
      <c r="A2174" t="s">
        <v>57</v>
      </c>
      <c r="B2174" t="s">
        <v>110</v>
      </c>
      <c r="C2174" t="s">
        <v>198</v>
      </c>
      <c r="D2174">
        <v>164438.29999999999</v>
      </c>
      <c r="I2174">
        <v>36791.449999999997</v>
      </c>
    </row>
    <row r="2175" spans="1:12" x14ac:dyDescent="0.2">
      <c r="A2175" t="s">
        <v>57</v>
      </c>
      <c r="B2175" t="s">
        <v>116</v>
      </c>
      <c r="C2175" t="s">
        <v>195</v>
      </c>
      <c r="D2175">
        <v>10764.5</v>
      </c>
      <c r="E2175">
        <v>9554.5</v>
      </c>
      <c r="F2175">
        <v>8339.5</v>
      </c>
      <c r="G2175">
        <v>7866.5</v>
      </c>
      <c r="I2175">
        <v>548.5</v>
      </c>
      <c r="J2175">
        <v>766.5</v>
      </c>
      <c r="K2175">
        <v>1868.5</v>
      </c>
      <c r="L2175">
        <v>2653.5</v>
      </c>
    </row>
    <row r="2176" spans="1:12" x14ac:dyDescent="0.2">
      <c r="A2176" t="s">
        <v>57</v>
      </c>
      <c r="B2176" t="s">
        <v>116</v>
      </c>
      <c r="C2176" t="s">
        <v>196</v>
      </c>
      <c r="D2176">
        <v>13115</v>
      </c>
      <c r="E2176">
        <v>12188</v>
      </c>
      <c r="F2176">
        <v>11923</v>
      </c>
      <c r="I2176">
        <v>2238</v>
      </c>
      <c r="J2176">
        <v>3153</v>
      </c>
      <c r="K2176">
        <v>4003</v>
      </c>
    </row>
    <row r="2177" spans="1:12" x14ac:dyDescent="0.2">
      <c r="A2177" t="s">
        <v>57</v>
      </c>
      <c r="B2177" t="s">
        <v>116</v>
      </c>
      <c r="C2177" t="s">
        <v>197</v>
      </c>
      <c r="D2177">
        <v>18498.5</v>
      </c>
      <c r="E2177">
        <v>17283.5</v>
      </c>
      <c r="I2177">
        <v>894</v>
      </c>
      <c r="J2177">
        <v>2081.5</v>
      </c>
    </row>
    <row r="2178" spans="1:12" x14ac:dyDescent="0.2">
      <c r="A2178" t="s">
        <v>57</v>
      </c>
      <c r="B2178" t="s">
        <v>116</v>
      </c>
      <c r="C2178" t="s">
        <v>198</v>
      </c>
      <c r="D2178">
        <v>11230.5</v>
      </c>
      <c r="I2178">
        <v>411</v>
      </c>
    </row>
    <row r="2179" spans="1:12" x14ac:dyDescent="0.2">
      <c r="A2179" t="s">
        <v>57</v>
      </c>
      <c r="B2179" t="s">
        <v>114</v>
      </c>
      <c r="C2179" t="s">
        <v>195</v>
      </c>
      <c r="D2179">
        <v>241239.57</v>
      </c>
      <c r="E2179">
        <v>240649.07</v>
      </c>
      <c r="F2179">
        <v>240549.07</v>
      </c>
      <c r="G2179">
        <v>239214.66</v>
      </c>
      <c r="I2179">
        <v>105335.92</v>
      </c>
      <c r="J2179">
        <v>134243.71</v>
      </c>
      <c r="K2179">
        <v>150162.56</v>
      </c>
      <c r="L2179">
        <v>160972.63</v>
      </c>
    </row>
    <row r="2180" spans="1:12" x14ac:dyDescent="0.2">
      <c r="A2180" t="s">
        <v>57</v>
      </c>
      <c r="B2180" t="s">
        <v>114</v>
      </c>
      <c r="C2180" t="s">
        <v>196</v>
      </c>
      <c r="D2180">
        <v>320467.15000000002</v>
      </c>
      <c r="E2180">
        <v>319280.65000000002</v>
      </c>
      <c r="F2180">
        <v>318403.78999999998</v>
      </c>
      <c r="I2180">
        <v>133061.15</v>
      </c>
      <c r="J2180">
        <v>173046.14</v>
      </c>
      <c r="K2180">
        <v>195376.26</v>
      </c>
    </row>
    <row r="2181" spans="1:12" x14ac:dyDescent="0.2">
      <c r="A2181" t="s">
        <v>57</v>
      </c>
      <c r="B2181" t="s">
        <v>114</v>
      </c>
      <c r="C2181" t="s">
        <v>197</v>
      </c>
      <c r="D2181">
        <v>248011.28</v>
      </c>
      <c r="E2181">
        <v>246963.03</v>
      </c>
      <c r="I2181">
        <v>113135.97</v>
      </c>
      <c r="J2181">
        <v>136640.5</v>
      </c>
    </row>
    <row r="2182" spans="1:12" x14ac:dyDescent="0.2">
      <c r="A2182" t="s">
        <v>57</v>
      </c>
      <c r="B2182" t="s">
        <v>114</v>
      </c>
      <c r="C2182" t="s">
        <v>198</v>
      </c>
      <c r="D2182">
        <v>262634.65999999997</v>
      </c>
      <c r="I2182">
        <v>106076.65</v>
      </c>
    </row>
    <row r="2183" spans="1:12" x14ac:dyDescent="0.2">
      <c r="A2183" t="s">
        <v>57</v>
      </c>
      <c r="B2183" t="s">
        <v>111</v>
      </c>
      <c r="C2183" t="s">
        <v>195</v>
      </c>
      <c r="D2183">
        <v>239727</v>
      </c>
      <c r="E2183">
        <v>239222</v>
      </c>
      <c r="F2183">
        <v>239644</v>
      </c>
      <c r="G2183">
        <v>239222</v>
      </c>
      <c r="I2183">
        <v>235672.5</v>
      </c>
      <c r="J2183">
        <v>237622</v>
      </c>
      <c r="K2183">
        <v>237627.07</v>
      </c>
      <c r="L2183">
        <v>237635.07</v>
      </c>
    </row>
    <row r="2184" spans="1:12" x14ac:dyDescent="0.2">
      <c r="A2184" t="s">
        <v>57</v>
      </c>
      <c r="B2184" t="s">
        <v>111</v>
      </c>
      <c r="C2184" t="s">
        <v>196</v>
      </c>
      <c r="D2184">
        <v>225773.44</v>
      </c>
      <c r="E2184">
        <v>225773.44</v>
      </c>
      <c r="F2184">
        <v>225773.44</v>
      </c>
      <c r="I2184">
        <v>218718.34</v>
      </c>
      <c r="J2184">
        <v>220773.44</v>
      </c>
      <c r="K2184">
        <v>220773.44</v>
      </c>
    </row>
    <row r="2185" spans="1:12" x14ac:dyDescent="0.2">
      <c r="A2185" t="s">
        <v>57</v>
      </c>
      <c r="B2185" t="s">
        <v>111</v>
      </c>
      <c r="C2185" t="s">
        <v>197</v>
      </c>
      <c r="D2185">
        <v>218207.4</v>
      </c>
      <c r="E2185">
        <v>218207.4</v>
      </c>
      <c r="I2185">
        <v>204865.4</v>
      </c>
      <c r="J2185">
        <v>213407.4</v>
      </c>
    </row>
    <row r="2186" spans="1:12" x14ac:dyDescent="0.2">
      <c r="A2186" t="s">
        <v>57</v>
      </c>
      <c r="B2186" t="s">
        <v>111</v>
      </c>
      <c r="C2186" t="s">
        <v>198</v>
      </c>
      <c r="D2186">
        <v>241005.44</v>
      </c>
      <c r="I2186">
        <v>237344.94</v>
      </c>
    </row>
    <row r="2187" spans="1:12" x14ac:dyDescent="0.2">
      <c r="A2187" t="s">
        <v>57</v>
      </c>
      <c r="B2187" t="s">
        <v>112</v>
      </c>
      <c r="C2187" t="s">
        <v>195</v>
      </c>
      <c r="D2187">
        <v>125869.43</v>
      </c>
      <c r="E2187">
        <v>125474.43</v>
      </c>
      <c r="F2187">
        <v>125474.43</v>
      </c>
      <c r="G2187">
        <v>125474.43</v>
      </c>
      <c r="I2187">
        <v>125474.43</v>
      </c>
      <c r="J2187">
        <v>125474.43</v>
      </c>
      <c r="K2187">
        <v>125474.43</v>
      </c>
      <c r="L2187">
        <v>125474.43</v>
      </c>
    </row>
    <row r="2188" spans="1:12" x14ac:dyDescent="0.2">
      <c r="A2188" t="s">
        <v>57</v>
      </c>
      <c r="B2188" t="s">
        <v>112</v>
      </c>
      <c r="C2188" t="s">
        <v>196</v>
      </c>
      <c r="D2188">
        <v>124314.26</v>
      </c>
      <c r="E2188">
        <v>124314.26</v>
      </c>
      <c r="F2188">
        <v>124314.26</v>
      </c>
      <c r="I2188">
        <v>123771.26</v>
      </c>
      <c r="J2188">
        <v>124144.76</v>
      </c>
      <c r="K2188">
        <v>124144.76</v>
      </c>
    </row>
    <row r="2189" spans="1:12" x14ac:dyDescent="0.2">
      <c r="A2189" t="s">
        <v>57</v>
      </c>
      <c r="B2189" t="s">
        <v>112</v>
      </c>
      <c r="C2189" t="s">
        <v>197</v>
      </c>
      <c r="D2189">
        <v>160265.12</v>
      </c>
      <c r="E2189">
        <v>160265.12</v>
      </c>
      <c r="I2189">
        <v>158551.12</v>
      </c>
      <c r="J2189">
        <v>159231.12</v>
      </c>
    </row>
    <row r="2190" spans="1:12" x14ac:dyDescent="0.2">
      <c r="A2190" t="s">
        <v>57</v>
      </c>
      <c r="B2190" t="s">
        <v>112</v>
      </c>
      <c r="C2190" t="s">
        <v>198</v>
      </c>
      <c r="D2190">
        <v>134441.04</v>
      </c>
      <c r="I2190">
        <v>134131.04</v>
      </c>
    </row>
    <row r="2191" spans="1:12" x14ac:dyDescent="0.2">
      <c r="A2191" t="s">
        <v>57</v>
      </c>
      <c r="B2191" t="s">
        <v>115</v>
      </c>
      <c r="C2191" t="s">
        <v>195</v>
      </c>
      <c r="D2191">
        <v>832278.64</v>
      </c>
      <c r="E2191">
        <v>876815.39</v>
      </c>
      <c r="F2191">
        <v>885793.89</v>
      </c>
      <c r="G2191">
        <v>882818.89</v>
      </c>
      <c r="I2191">
        <v>341576.89</v>
      </c>
      <c r="J2191">
        <v>634337.66</v>
      </c>
      <c r="K2191">
        <v>700186.8</v>
      </c>
      <c r="L2191">
        <v>733161.14</v>
      </c>
    </row>
    <row r="2192" spans="1:12" x14ac:dyDescent="0.2">
      <c r="A2192" t="s">
        <v>57</v>
      </c>
      <c r="B2192" t="s">
        <v>115</v>
      </c>
      <c r="C2192" t="s">
        <v>196</v>
      </c>
      <c r="D2192">
        <v>865634.55</v>
      </c>
      <c r="E2192">
        <v>966176.95</v>
      </c>
      <c r="F2192">
        <v>955719.8</v>
      </c>
      <c r="I2192">
        <v>439585.11</v>
      </c>
      <c r="J2192">
        <v>673919.98</v>
      </c>
      <c r="K2192">
        <v>748115.4</v>
      </c>
    </row>
    <row r="2193" spans="1:12" x14ac:dyDescent="0.2">
      <c r="A2193" t="s">
        <v>57</v>
      </c>
      <c r="B2193" t="s">
        <v>115</v>
      </c>
      <c r="C2193" t="s">
        <v>197</v>
      </c>
      <c r="D2193">
        <v>991469.21</v>
      </c>
      <c r="E2193">
        <v>971051.71</v>
      </c>
      <c r="I2193">
        <v>403084.11</v>
      </c>
      <c r="J2193">
        <v>672033.96</v>
      </c>
    </row>
    <row r="2194" spans="1:12" x14ac:dyDescent="0.2">
      <c r="A2194" t="s">
        <v>57</v>
      </c>
      <c r="B2194" t="s">
        <v>115</v>
      </c>
      <c r="C2194" t="s">
        <v>198</v>
      </c>
      <c r="D2194">
        <v>942081.25</v>
      </c>
      <c r="I2194">
        <v>412753.23</v>
      </c>
    </row>
    <row r="2195" spans="1:12" x14ac:dyDescent="0.2">
      <c r="A2195" t="s">
        <v>57</v>
      </c>
      <c r="B2195" t="s">
        <v>113</v>
      </c>
      <c r="C2195" t="s">
        <v>195</v>
      </c>
      <c r="D2195">
        <v>52972</v>
      </c>
      <c r="E2195">
        <v>52575.5</v>
      </c>
      <c r="F2195">
        <v>52575.5</v>
      </c>
      <c r="G2195">
        <v>52575.5</v>
      </c>
      <c r="I2195">
        <v>52561</v>
      </c>
      <c r="J2195">
        <v>52564.5</v>
      </c>
      <c r="K2195">
        <v>52564.5</v>
      </c>
      <c r="L2195">
        <v>52564.5</v>
      </c>
    </row>
    <row r="2196" spans="1:12" x14ac:dyDescent="0.2">
      <c r="A2196" t="s">
        <v>57</v>
      </c>
      <c r="B2196" t="s">
        <v>113</v>
      </c>
      <c r="C2196" t="s">
        <v>196</v>
      </c>
      <c r="D2196">
        <v>55599.1</v>
      </c>
      <c r="E2196">
        <v>55599.1</v>
      </c>
      <c r="F2196">
        <v>55599.1</v>
      </c>
      <c r="I2196">
        <v>54960.1</v>
      </c>
      <c r="J2196">
        <v>55595.1</v>
      </c>
      <c r="K2196">
        <v>55595.1</v>
      </c>
    </row>
    <row r="2197" spans="1:12" x14ac:dyDescent="0.2">
      <c r="A2197" t="s">
        <v>57</v>
      </c>
      <c r="B2197" t="s">
        <v>113</v>
      </c>
      <c r="C2197" t="s">
        <v>197</v>
      </c>
      <c r="D2197">
        <v>56410.36</v>
      </c>
      <c r="E2197">
        <v>56406.86</v>
      </c>
      <c r="I2197">
        <v>56084.86</v>
      </c>
      <c r="J2197">
        <v>56084.86</v>
      </c>
    </row>
    <row r="2198" spans="1:12" x14ac:dyDescent="0.2">
      <c r="A2198" t="s">
        <v>57</v>
      </c>
      <c r="B2198" t="s">
        <v>113</v>
      </c>
      <c r="C2198" t="s">
        <v>198</v>
      </c>
      <c r="D2198">
        <v>47375.839999999997</v>
      </c>
      <c r="I2198">
        <v>47144.34</v>
      </c>
    </row>
    <row r="2199" spans="1:12" x14ac:dyDescent="0.2">
      <c r="A2199" t="s">
        <v>57</v>
      </c>
      <c r="B2199" t="s">
        <v>72</v>
      </c>
      <c r="C2199" t="s">
        <v>195</v>
      </c>
      <c r="D2199">
        <v>104966.9</v>
      </c>
      <c r="E2199">
        <v>104994.4</v>
      </c>
      <c r="F2199">
        <v>105394.4</v>
      </c>
      <c r="G2199">
        <v>104994.4</v>
      </c>
      <c r="I2199">
        <v>98845.66</v>
      </c>
      <c r="J2199">
        <v>100736.4</v>
      </c>
      <c r="K2199">
        <v>102391.9</v>
      </c>
      <c r="L2199">
        <v>102773.9</v>
      </c>
    </row>
    <row r="2200" spans="1:12" x14ac:dyDescent="0.2">
      <c r="A2200" t="s">
        <v>57</v>
      </c>
      <c r="B2200" t="s">
        <v>72</v>
      </c>
      <c r="C2200" t="s">
        <v>196</v>
      </c>
      <c r="D2200">
        <v>121542.8</v>
      </c>
      <c r="E2200">
        <v>121542.8</v>
      </c>
      <c r="F2200">
        <v>121542.8</v>
      </c>
      <c r="I2200">
        <v>116565.8</v>
      </c>
      <c r="J2200">
        <v>117265.8</v>
      </c>
      <c r="K2200">
        <v>118256.3</v>
      </c>
    </row>
    <row r="2201" spans="1:12" x14ac:dyDescent="0.2">
      <c r="A2201" t="s">
        <v>57</v>
      </c>
      <c r="B2201" t="s">
        <v>72</v>
      </c>
      <c r="C2201" t="s">
        <v>197</v>
      </c>
      <c r="D2201">
        <v>117370.9</v>
      </c>
      <c r="E2201">
        <v>117329.9</v>
      </c>
      <c r="I2201">
        <v>109328.15</v>
      </c>
      <c r="J2201">
        <v>111642.4</v>
      </c>
    </row>
    <row r="2202" spans="1:12" x14ac:dyDescent="0.2">
      <c r="A2202" t="s">
        <v>57</v>
      </c>
      <c r="B2202" t="s">
        <v>72</v>
      </c>
      <c r="C2202" t="s">
        <v>198</v>
      </c>
      <c r="D2202">
        <v>111924.1</v>
      </c>
      <c r="I2202">
        <v>108416.6</v>
      </c>
    </row>
    <row r="2203" spans="1:12" x14ac:dyDescent="0.2">
      <c r="A2203" t="s">
        <v>58</v>
      </c>
      <c r="B2203" t="s">
        <v>109</v>
      </c>
      <c r="C2203" t="s">
        <v>195</v>
      </c>
      <c r="D2203">
        <v>692761.61</v>
      </c>
      <c r="E2203">
        <v>689286.61</v>
      </c>
      <c r="F2203">
        <v>685048.92</v>
      </c>
      <c r="G2203">
        <v>678361.92</v>
      </c>
      <c r="I2203">
        <v>18210.89</v>
      </c>
      <c r="J2203">
        <v>35875.050000000003</v>
      </c>
      <c r="K2203">
        <v>52844.38</v>
      </c>
      <c r="L2203">
        <v>63354.75</v>
      </c>
    </row>
    <row r="2204" spans="1:12" x14ac:dyDescent="0.2">
      <c r="A2204" t="s">
        <v>58</v>
      </c>
      <c r="B2204" t="s">
        <v>109</v>
      </c>
      <c r="C2204" t="s">
        <v>196</v>
      </c>
      <c r="D2204">
        <v>860877.25</v>
      </c>
      <c r="E2204">
        <v>860072.25</v>
      </c>
      <c r="F2204">
        <v>859256.98</v>
      </c>
      <c r="I2204">
        <v>20006.919999999998</v>
      </c>
      <c r="J2204">
        <v>35116.839999999997</v>
      </c>
      <c r="K2204">
        <v>44557.57</v>
      </c>
    </row>
    <row r="2205" spans="1:12" x14ac:dyDescent="0.2">
      <c r="A2205" t="s">
        <v>58</v>
      </c>
      <c r="B2205" t="s">
        <v>109</v>
      </c>
      <c r="C2205" t="s">
        <v>197</v>
      </c>
      <c r="D2205">
        <v>1141817.82</v>
      </c>
      <c r="E2205">
        <v>1142370.32</v>
      </c>
      <c r="I2205">
        <v>21071.43</v>
      </c>
      <c r="J2205">
        <v>38539.25</v>
      </c>
    </row>
    <row r="2206" spans="1:12" x14ac:dyDescent="0.2">
      <c r="A2206" t="s">
        <v>58</v>
      </c>
      <c r="B2206" t="s">
        <v>109</v>
      </c>
      <c r="C2206" t="s">
        <v>198</v>
      </c>
      <c r="D2206">
        <v>852228.11</v>
      </c>
      <c r="I2206">
        <v>19982.96</v>
      </c>
    </row>
    <row r="2207" spans="1:12" x14ac:dyDescent="0.2">
      <c r="A2207" t="s">
        <v>58</v>
      </c>
      <c r="B2207" t="s">
        <v>145</v>
      </c>
      <c r="C2207" t="s">
        <v>195</v>
      </c>
      <c r="D2207">
        <v>133801</v>
      </c>
      <c r="E2207">
        <v>133751</v>
      </c>
      <c r="F2207">
        <v>133701</v>
      </c>
      <c r="G2207">
        <v>133701</v>
      </c>
      <c r="I2207">
        <v>30</v>
      </c>
      <c r="J2207">
        <v>30</v>
      </c>
      <c r="K2207">
        <v>30</v>
      </c>
      <c r="L2207">
        <v>30</v>
      </c>
    </row>
    <row r="2208" spans="1:12" x14ac:dyDescent="0.2">
      <c r="A2208" t="s">
        <v>58</v>
      </c>
      <c r="B2208" t="s">
        <v>145</v>
      </c>
      <c r="C2208" t="s">
        <v>196</v>
      </c>
      <c r="D2208">
        <v>315192</v>
      </c>
      <c r="E2208">
        <v>315092</v>
      </c>
      <c r="F2208">
        <v>315092</v>
      </c>
      <c r="I2208">
        <v>20</v>
      </c>
      <c r="J2208">
        <v>20</v>
      </c>
      <c r="K2208">
        <v>20</v>
      </c>
    </row>
    <row r="2209" spans="1:12" x14ac:dyDescent="0.2">
      <c r="A2209" t="s">
        <v>58</v>
      </c>
      <c r="B2209" t="s">
        <v>145</v>
      </c>
      <c r="C2209" t="s">
        <v>197</v>
      </c>
      <c r="D2209">
        <v>583805</v>
      </c>
      <c r="E2209">
        <v>583655</v>
      </c>
      <c r="I2209">
        <v>30</v>
      </c>
      <c r="J2209">
        <v>30</v>
      </c>
    </row>
    <row r="2210" spans="1:12" x14ac:dyDescent="0.2">
      <c r="A2210" t="s">
        <v>58</v>
      </c>
      <c r="B2210" t="s">
        <v>145</v>
      </c>
      <c r="C2210" t="s">
        <v>198</v>
      </c>
      <c r="D2210">
        <v>345508</v>
      </c>
      <c r="I2210">
        <v>20</v>
      </c>
    </row>
    <row r="2211" spans="1:12" x14ac:dyDescent="0.2">
      <c r="A2211" t="s">
        <v>58</v>
      </c>
      <c r="B2211" t="s">
        <v>110</v>
      </c>
      <c r="C2211" t="s">
        <v>195</v>
      </c>
      <c r="D2211">
        <v>386000.75</v>
      </c>
      <c r="E2211">
        <v>383171.75</v>
      </c>
      <c r="F2211">
        <v>380753.75</v>
      </c>
      <c r="G2211">
        <v>378236.15</v>
      </c>
      <c r="I2211">
        <v>49342.41</v>
      </c>
      <c r="J2211">
        <v>78272.240000000005</v>
      </c>
      <c r="K2211">
        <v>92159.12</v>
      </c>
      <c r="L2211">
        <v>105500.29</v>
      </c>
    </row>
    <row r="2212" spans="1:12" x14ac:dyDescent="0.2">
      <c r="A2212" t="s">
        <v>58</v>
      </c>
      <c r="B2212" t="s">
        <v>110</v>
      </c>
      <c r="C2212" t="s">
        <v>196</v>
      </c>
      <c r="D2212">
        <v>380300.25</v>
      </c>
      <c r="E2212">
        <v>380181.25</v>
      </c>
      <c r="F2212">
        <v>379693.25</v>
      </c>
      <c r="I2212">
        <v>59880.11</v>
      </c>
      <c r="J2212">
        <v>93211.41</v>
      </c>
      <c r="K2212">
        <v>105765.42</v>
      </c>
    </row>
    <row r="2213" spans="1:12" x14ac:dyDescent="0.2">
      <c r="A2213" t="s">
        <v>58</v>
      </c>
      <c r="B2213" t="s">
        <v>110</v>
      </c>
      <c r="C2213" t="s">
        <v>197</v>
      </c>
      <c r="D2213">
        <v>457052.5</v>
      </c>
      <c r="E2213">
        <v>455726.75</v>
      </c>
      <c r="I2213">
        <v>87207.35</v>
      </c>
      <c r="J2213">
        <v>115718.87</v>
      </c>
    </row>
    <row r="2214" spans="1:12" x14ac:dyDescent="0.2">
      <c r="A2214" t="s">
        <v>58</v>
      </c>
      <c r="B2214" t="s">
        <v>110</v>
      </c>
      <c r="C2214" t="s">
        <v>198</v>
      </c>
      <c r="D2214">
        <v>387713.85</v>
      </c>
      <c r="I2214">
        <v>42212.33</v>
      </c>
    </row>
    <row r="2215" spans="1:12" x14ac:dyDescent="0.2">
      <c r="A2215" t="s">
        <v>58</v>
      </c>
      <c r="B2215" t="s">
        <v>116</v>
      </c>
      <c r="C2215" t="s">
        <v>195</v>
      </c>
      <c r="D2215">
        <v>18545</v>
      </c>
      <c r="E2215">
        <v>18595</v>
      </c>
      <c r="F2215">
        <v>18595</v>
      </c>
      <c r="G2215">
        <v>18595</v>
      </c>
      <c r="I2215">
        <v>1694.5</v>
      </c>
      <c r="J2215">
        <v>3074</v>
      </c>
      <c r="K2215">
        <v>4292</v>
      </c>
      <c r="L2215">
        <v>4988</v>
      </c>
    </row>
    <row r="2216" spans="1:12" x14ac:dyDescent="0.2">
      <c r="A2216" t="s">
        <v>58</v>
      </c>
      <c r="B2216" t="s">
        <v>116</v>
      </c>
      <c r="C2216" t="s">
        <v>196</v>
      </c>
      <c r="D2216">
        <v>8647</v>
      </c>
      <c r="E2216">
        <v>8547</v>
      </c>
      <c r="F2216">
        <v>8021</v>
      </c>
      <c r="I2216">
        <v>1457</v>
      </c>
      <c r="J2216">
        <v>3505</v>
      </c>
      <c r="K2216">
        <v>3945</v>
      </c>
    </row>
    <row r="2217" spans="1:12" x14ac:dyDescent="0.2">
      <c r="A2217" t="s">
        <v>58</v>
      </c>
      <c r="B2217" t="s">
        <v>116</v>
      </c>
      <c r="C2217" t="s">
        <v>197</v>
      </c>
      <c r="D2217">
        <v>10232.5</v>
      </c>
      <c r="E2217">
        <v>10182.5</v>
      </c>
      <c r="I2217">
        <v>1545.5</v>
      </c>
      <c r="J2217">
        <v>3657.5</v>
      </c>
    </row>
    <row r="2218" spans="1:12" x14ac:dyDescent="0.2">
      <c r="A2218" t="s">
        <v>58</v>
      </c>
      <c r="B2218" t="s">
        <v>116</v>
      </c>
      <c r="C2218" t="s">
        <v>198</v>
      </c>
      <c r="D2218">
        <v>11805.5</v>
      </c>
      <c r="I2218">
        <v>2924.5</v>
      </c>
    </row>
    <row r="2219" spans="1:12" x14ac:dyDescent="0.2">
      <c r="A2219" t="s">
        <v>58</v>
      </c>
      <c r="B2219" t="s">
        <v>114</v>
      </c>
      <c r="C2219" t="s">
        <v>195</v>
      </c>
      <c r="D2219">
        <v>450918.85</v>
      </c>
      <c r="E2219">
        <v>447204.1</v>
      </c>
      <c r="F2219">
        <v>445823.1</v>
      </c>
      <c r="G2219">
        <v>443940.1</v>
      </c>
      <c r="I2219">
        <v>122187.81</v>
      </c>
      <c r="J2219">
        <v>191199.97</v>
      </c>
      <c r="K2219">
        <v>236525.84</v>
      </c>
      <c r="L2219">
        <v>259478.48</v>
      </c>
    </row>
    <row r="2220" spans="1:12" x14ac:dyDescent="0.2">
      <c r="A2220" t="s">
        <v>58</v>
      </c>
      <c r="B2220" t="s">
        <v>114</v>
      </c>
      <c r="C2220" t="s">
        <v>196</v>
      </c>
      <c r="D2220">
        <v>452175.05</v>
      </c>
      <c r="E2220">
        <v>450992.05</v>
      </c>
      <c r="F2220">
        <v>447876.05</v>
      </c>
      <c r="I2220">
        <v>137086.85999999999</v>
      </c>
      <c r="J2220">
        <v>191081.33</v>
      </c>
      <c r="K2220">
        <v>235863.26</v>
      </c>
    </row>
    <row r="2221" spans="1:12" x14ac:dyDescent="0.2">
      <c r="A2221" t="s">
        <v>58</v>
      </c>
      <c r="B2221" t="s">
        <v>114</v>
      </c>
      <c r="C2221" t="s">
        <v>197</v>
      </c>
      <c r="D2221">
        <v>455250.75</v>
      </c>
      <c r="E2221">
        <v>454062.5</v>
      </c>
      <c r="I2221">
        <v>140289</v>
      </c>
      <c r="J2221">
        <v>196966.39</v>
      </c>
    </row>
    <row r="2222" spans="1:12" x14ac:dyDescent="0.2">
      <c r="A2222" t="s">
        <v>58</v>
      </c>
      <c r="B2222" t="s">
        <v>114</v>
      </c>
      <c r="C2222" t="s">
        <v>198</v>
      </c>
      <c r="D2222">
        <v>369172</v>
      </c>
      <c r="I2222">
        <v>114043.48</v>
      </c>
    </row>
    <row r="2223" spans="1:12" x14ac:dyDescent="0.2">
      <c r="A2223" t="s">
        <v>58</v>
      </c>
      <c r="B2223" t="s">
        <v>111</v>
      </c>
      <c r="C2223" t="s">
        <v>195</v>
      </c>
      <c r="D2223">
        <v>617761.87</v>
      </c>
      <c r="E2223">
        <v>608904.87</v>
      </c>
      <c r="F2223">
        <v>608110.87</v>
      </c>
      <c r="G2223">
        <v>607728.37</v>
      </c>
      <c r="I2223">
        <v>594496.42000000004</v>
      </c>
      <c r="J2223">
        <v>604010.92000000004</v>
      </c>
      <c r="K2223">
        <v>604527.92000000004</v>
      </c>
      <c r="L2223">
        <v>604630.42000000004</v>
      </c>
    </row>
    <row r="2224" spans="1:12" x14ac:dyDescent="0.2">
      <c r="A2224" t="s">
        <v>58</v>
      </c>
      <c r="B2224" t="s">
        <v>111</v>
      </c>
      <c r="C2224" t="s">
        <v>196</v>
      </c>
      <c r="D2224">
        <v>665556.53</v>
      </c>
      <c r="E2224">
        <v>657895.03</v>
      </c>
      <c r="F2224">
        <v>657895.03</v>
      </c>
      <c r="I2224">
        <v>648740.02</v>
      </c>
      <c r="J2224">
        <v>654269.02</v>
      </c>
      <c r="K2224">
        <v>655580.02</v>
      </c>
    </row>
    <row r="2225" spans="1:12" x14ac:dyDescent="0.2">
      <c r="A2225" t="s">
        <v>58</v>
      </c>
      <c r="B2225" t="s">
        <v>111</v>
      </c>
      <c r="C2225" t="s">
        <v>197</v>
      </c>
      <c r="D2225">
        <v>693050.85</v>
      </c>
      <c r="E2225">
        <v>688604.07</v>
      </c>
      <c r="I2225">
        <v>666485.85</v>
      </c>
      <c r="J2225">
        <v>679198.07</v>
      </c>
    </row>
    <row r="2226" spans="1:12" x14ac:dyDescent="0.2">
      <c r="A2226" t="s">
        <v>58</v>
      </c>
      <c r="B2226" t="s">
        <v>111</v>
      </c>
      <c r="C2226" t="s">
        <v>198</v>
      </c>
      <c r="D2226">
        <v>686248.61</v>
      </c>
      <c r="I2226">
        <v>656407.11</v>
      </c>
    </row>
    <row r="2227" spans="1:12" x14ac:dyDescent="0.2">
      <c r="A2227" t="s">
        <v>58</v>
      </c>
      <c r="B2227" t="s">
        <v>112</v>
      </c>
      <c r="C2227" t="s">
        <v>195</v>
      </c>
      <c r="D2227">
        <v>406100.44</v>
      </c>
      <c r="E2227">
        <v>404930.44</v>
      </c>
      <c r="F2227">
        <v>403355.44</v>
      </c>
      <c r="G2227">
        <v>403355.44</v>
      </c>
      <c r="I2227">
        <v>402084.44</v>
      </c>
      <c r="J2227">
        <v>401529.44</v>
      </c>
      <c r="K2227">
        <v>401829.44</v>
      </c>
      <c r="L2227">
        <v>401829.44</v>
      </c>
    </row>
    <row r="2228" spans="1:12" x14ac:dyDescent="0.2">
      <c r="A2228" t="s">
        <v>58</v>
      </c>
      <c r="B2228" t="s">
        <v>112</v>
      </c>
      <c r="C2228" t="s">
        <v>196</v>
      </c>
      <c r="D2228">
        <v>424741.91</v>
      </c>
      <c r="E2228">
        <v>422081.91</v>
      </c>
      <c r="F2228">
        <v>422111.91</v>
      </c>
      <c r="I2228">
        <v>421112.67</v>
      </c>
      <c r="J2228">
        <v>420832.67</v>
      </c>
      <c r="K2228">
        <v>420887.67</v>
      </c>
    </row>
    <row r="2229" spans="1:12" x14ac:dyDescent="0.2">
      <c r="A2229" t="s">
        <v>58</v>
      </c>
      <c r="B2229" t="s">
        <v>112</v>
      </c>
      <c r="C2229" t="s">
        <v>197</v>
      </c>
      <c r="D2229">
        <v>422942.21</v>
      </c>
      <c r="E2229">
        <v>421707.21</v>
      </c>
      <c r="I2229">
        <v>419659.71</v>
      </c>
      <c r="J2229">
        <v>420419.71</v>
      </c>
    </row>
    <row r="2230" spans="1:12" x14ac:dyDescent="0.2">
      <c r="A2230" t="s">
        <v>58</v>
      </c>
      <c r="B2230" t="s">
        <v>112</v>
      </c>
      <c r="C2230" t="s">
        <v>198</v>
      </c>
      <c r="D2230">
        <v>362317.24</v>
      </c>
      <c r="I2230">
        <v>360637.24</v>
      </c>
    </row>
    <row r="2231" spans="1:12" x14ac:dyDescent="0.2">
      <c r="A2231" t="s">
        <v>58</v>
      </c>
      <c r="B2231" t="s">
        <v>115</v>
      </c>
      <c r="C2231" t="s">
        <v>195</v>
      </c>
      <c r="D2231">
        <v>1895475.1</v>
      </c>
      <c r="E2231">
        <v>1791309.44</v>
      </c>
      <c r="F2231">
        <v>1779632.66</v>
      </c>
      <c r="G2231">
        <v>1775916.56</v>
      </c>
      <c r="I2231">
        <v>894597.71</v>
      </c>
      <c r="J2231">
        <v>1397868.58</v>
      </c>
      <c r="K2231">
        <v>1475340.5</v>
      </c>
      <c r="L2231">
        <v>1507988.35</v>
      </c>
    </row>
    <row r="2232" spans="1:12" x14ac:dyDescent="0.2">
      <c r="A2232" t="s">
        <v>58</v>
      </c>
      <c r="B2232" t="s">
        <v>115</v>
      </c>
      <c r="C2232" t="s">
        <v>196</v>
      </c>
      <c r="D2232">
        <v>2042602.41</v>
      </c>
      <c r="E2232">
        <v>1934616.52</v>
      </c>
      <c r="F2232">
        <v>1924633.38</v>
      </c>
      <c r="I2232">
        <v>1035954.53</v>
      </c>
      <c r="J2232">
        <v>1529388.97</v>
      </c>
      <c r="K2232">
        <v>1609879.23</v>
      </c>
    </row>
    <row r="2233" spans="1:12" x14ac:dyDescent="0.2">
      <c r="A2233" t="s">
        <v>58</v>
      </c>
      <c r="B2233" t="s">
        <v>115</v>
      </c>
      <c r="C2233" t="s">
        <v>197</v>
      </c>
      <c r="D2233">
        <v>1959957.89</v>
      </c>
      <c r="E2233">
        <v>1848878.4</v>
      </c>
      <c r="I2233">
        <v>932228.97</v>
      </c>
      <c r="J2233">
        <v>1410979.88</v>
      </c>
    </row>
    <row r="2234" spans="1:12" x14ac:dyDescent="0.2">
      <c r="A2234" t="s">
        <v>58</v>
      </c>
      <c r="B2234" t="s">
        <v>115</v>
      </c>
      <c r="C2234" t="s">
        <v>198</v>
      </c>
      <c r="D2234">
        <v>2054071.39</v>
      </c>
      <c r="I2234">
        <v>980635.68</v>
      </c>
    </row>
    <row r="2235" spans="1:12" x14ac:dyDescent="0.2">
      <c r="A2235" t="s">
        <v>58</v>
      </c>
      <c r="B2235" t="s">
        <v>113</v>
      </c>
      <c r="C2235" t="s">
        <v>195</v>
      </c>
      <c r="D2235">
        <v>216717.79</v>
      </c>
      <c r="E2235">
        <v>213274.79</v>
      </c>
      <c r="F2235">
        <v>213274.79</v>
      </c>
      <c r="G2235">
        <v>213274.79</v>
      </c>
      <c r="I2235">
        <v>212062.79</v>
      </c>
      <c r="J2235">
        <v>212878.79</v>
      </c>
      <c r="K2235">
        <v>213109.79</v>
      </c>
      <c r="L2235">
        <v>213109.79</v>
      </c>
    </row>
    <row r="2236" spans="1:12" x14ac:dyDescent="0.2">
      <c r="A2236" t="s">
        <v>58</v>
      </c>
      <c r="B2236" t="s">
        <v>113</v>
      </c>
      <c r="C2236" t="s">
        <v>196</v>
      </c>
      <c r="D2236">
        <v>231748.35</v>
      </c>
      <c r="E2236">
        <v>230768.35</v>
      </c>
      <c r="F2236">
        <v>230768.35</v>
      </c>
      <c r="I2236">
        <v>229632.35</v>
      </c>
      <c r="J2236">
        <v>230137.35</v>
      </c>
      <c r="K2236">
        <v>230768.35</v>
      </c>
    </row>
    <row r="2237" spans="1:12" x14ac:dyDescent="0.2">
      <c r="A2237" t="s">
        <v>58</v>
      </c>
      <c r="B2237" t="s">
        <v>113</v>
      </c>
      <c r="C2237" t="s">
        <v>197</v>
      </c>
      <c r="D2237">
        <v>242662.47</v>
      </c>
      <c r="E2237">
        <v>238519.47</v>
      </c>
      <c r="I2237">
        <v>236377.47</v>
      </c>
      <c r="J2237">
        <v>236927.47</v>
      </c>
    </row>
    <row r="2238" spans="1:12" x14ac:dyDescent="0.2">
      <c r="A2238" t="s">
        <v>58</v>
      </c>
      <c r="B2238" t="s">
        <v>113</v>
      </c>
      <c r="C2238" t="s">
        <v>198</v>
      </c>
      <c r="D2238">
        <v>211255</v>
      </c>
      <c r="I2238">
        <v>206165</v>
      </c>
    </row>
    <row r="2239" spans="1:12" x14ac:dyDescent="0.2">
      <c r="A2239" t="s">
        <v>58</v>
      </c>
      <c r="B2239" t="s">
        <v>72</v>
      </c>
      <c r="C2239" t="s">
        <v>195</v>
      </c>
      <c r="D2239">
        <v>172992.5</v>
      </c>
      <c r="E2239">
        <v>170005.5</v>
      </c>
      <c r="F2239">
        <v>169005.5</v>
      </c>
      <c r="G2239">
        <v>169005.5</v>
      </c>
      <c r="I2239">
        <v>158479</v>
      </c>
      <c r="J2239">
        <v>166456.67000000001</v>
      </c>
      <c r="K2239">
        <v>166617.17000000001</v>
      </c>
      <c r="L2239">
        <v>166788.17000000001</v>
      </c>
    </row>
    <row r="2240" spans="1:12" x14ac:dyDescent="0.2">
      <c r="A2240" t="s">
        <v>58</v>
      </c>
      <c r="B2240" t="s">
        <v>72</v>
      </c>
      <c r="C2240" t="s">
        <v>196</v>
      </c>
      <c r="D2240">
        <v>222984.5</v>
      </c>
      <c r="E2240">
        <v>219807</v>
      </c>
      <c r="F2240">
        <v>219114.5</v>
      </c>
      <c r="I2240">
        <v>212237.71</v>
      </c>
      <c r="J2240">
        <v>215676.71</v>
      </c>
      <c r="K2240">
        <v>215718.71</v>
      </c>
    </row>
    <row r="2241" spans="1:12" x14ac:dyDescent="0.2">
      <c r="A2241" t="s">
        <v>58</v>
      </c>
      <c r="B2241" t="s">
        <v>72</v>
      </c>
      <c r="C2241" t="s">
        <v>197</v>
      </c>
      <c r="D2241">
        <v>204158.98</v>
      </c>
      <c r="E2241">
        <v>203623.98</v>
      </c>
      <c r="I2241">
        <v>192634.48</v>
      </c>
      <c r="J2241">
        <v>197656.33</v>
      </c>
    </row>
    <row r="2242" spans="1:12" x14ac:dyDescent="0.2">
      <c r="A2242" t="s">
        <v>58</v>
      </c>
      <c r="B2242" t="s">
        <v>72</v>
      </c>
      <c r="C2242" t="s">
        <v>198</v>
      </c>
      <c r="D2242">
        <v>198488.6</v>
      </c>
      <c r="I2242">
        <v>178783.8</v>
      </c>
    </row>
    <row r="2243" spans="1:12" x14ac:dyDescent="0.2">
      <c r="A2243" t="s">
        <v>59</v>
      </c>
      <c r="B2243" t="s">
        <v>109</v>
      </c>
      <c r="C2243" t="s">
        <v>195</v>
      </c>
      <c r="D2243">
        <v>971118.75</v>
      </c>
      <c r="E2243">
        <v>724968.75</v>
      </c>
      <c r="F2243">
        <v>737498.77</v>
      </c>
      <c r="G2243">
        <v>746510.8</v>
      </c>
      <c r="I2243">
        <v>29785.1</v>
      </c>
      <c r="J2243">
        <v>60663.71</v>
      </c>
      <c r="K2243">
        <v>84704.03</v>
      </c>
      <c r="L2243">
        <v>99599.52</v>
      </c>
    </row>
    <row r="2244" spans="1:12" x14ac:dyDescent="0.2">
      <c r="A2244" t="s">
        <v>59</v>
      </c>
      <c r="B2244" t="s">
        <v>109</v>
      </c>
      <c r="C2244" t="s">
        <v>196</v>
      </c>
      <c r="D2244">
        <v>930681.73</v>
      </c>
      <c r="E2244">
        <v>946656.53</v>
      </c>
      <c r="F2244">
        <v>961629.88</v>
      </c>
      <c r="I2244">
        <v>35328.57</v>
      </c>
      <c r="J2244">
        <v>84781.62</v>
      </c>
      <c r="K2244">
        <v>115040.6</v>
      </c>
    </row>
    <row r="2245" spans="1:12" x14ac:dyDescent="0.2">
      <c r="A2245" t="s">
        <v>59</v>
      </c>
      <c r="B2245" t="s">
        <v>109</v>
      </c>
      <c r="C2245" t="s">
        <v>197</v>
      </c>
      <c r="D2245">
        <v>1239197.8799999999</v>
      </c>
      <c r="E2245">
        <v>1252119.7</v>
      </c>
      <c r="I2245">
        <v>44875.86</v>
      </c>
      <c r="J2245">
        <v>80150.83</v>
      </c>
    </row>
    <row r="2246" spans="1:12" x14ac:dyDescent="0.2">
      <c r="A2246" t="s">
        <v>59</v>
      </c>
      <c r="B2246" t="s">
        <v>109</v>
      </c>
      <c r="C2246" t="s">
        <v>198</v>
      </c>
      <c r="D2246">
        <v>686255.5</v>
      </c>
      <c r="I2246">
        <v>32502.26</v>
      </c>
    </row>
    <row r="2247" spans="1:12" x14ac:dyDescent="0.2">
      <c r="A2247" t="s">
        <v>59</v>
      </c>
      <c r="B2247" t="s">
        <v>145</v>
      </c>
      <c r="C2247" t="s">
        <v>195</v>
      </c>
      <c r="D2247">
        <v>370942</v>
      </c>
      <c r="I2247">
        <v>986.95</v>
      </c>
    </row>
    <row r="2248" spans="1:12" x14ac:dyDescent="0.2">
      <c r="A2248" t="s">
        <v>59</v>
      </c>
      <c r="B2248" t="s">
        <v>145</v>
      </c>
      <c r="C2248" t="s">
        <v>196</v>
      </c>
      <c r="D2248">
        <v>451094</v>
      </c>
      <c r="I2248">
        <v>20800.810000000001</v>
      </c>
    </row>
    <row r="2249" spans="1:12" x14ac:dyDescent="0.2">
      <c r="A2249" t="s">
        <v>59</v>
      </c>
      <c r="B2249" t="s">
        <v>145</v>
      </c>
      <c r="C2249" t="s">
        <v>197</v>
      </c>
      <c r="D2249">
        <v>738888</v>
      </c>
      <c r="E2249" t="s">
        <v>3</v>
      </c>
      <c r="I2249">
        <v>11356.88</v>
      </c>
    </row>
    <row r="2250" spans="1:12" x14ac:dyDescent="0.2">
      <c r="A2250" t="s">
        <v>59</v>
      </c>
      <c r="B2250" t="s">
        <v>145</v>
      </c>
      <c r="C2250" t="s">
        <v>198</v>
      </c>
      <c r="D2250">
        <v>265022</v>
      </c>
      <c r="I2250">
        <v>12986.95</v>
      </c>
    </row>
    <row r="2251" spans="1:12" x14ac:dyDescent="0.2">
      <c r="A2251" t="s">
        <v>59</v>
      </c>
      <c r="B2251" t="s">
        <v>110</v>
      </c>
      <c r="C2251" t="s">
        <v>195</v>
      </c>
      <c r="D2251">
        <v>366355</v>
      </c>
      <c r="E2251">
        <v>376695</v>
      </c>
      <c r="F2251">
        <v>386222.32</v>
      </c>
      <c r="G2251">
        <v>388960.21</v>
      </c>
      <c r="I2251">
        <v>83128.990000000005</v>
      </c>
      <c r="J2251">
        <v>165131.32999999999</v>
      </c>
      <c r="K2251">
        <v>202071.6</v>
      </c>
      <c r="L2251">
        <v>218945.3</v>
      </c>
    </row>
    <row r="2252" spans="1:12" x14ac:dyDescent="0.2">
      <c r="A2252" t="s">
        <v>59</v>
      </c>
      <c r="B2252" t="s">
        <v>110</v>
      </c>
      <c r="C2252" t="s">
        <v>196</v>
      </c>
      <c r="D2252">
        <v>386936.14</v>
      </c>
      <c r="E2252">
        <v>399050.68</v>
      </c>
      <c r="F2252">
        <v>403286.48</v>
      </c>
      <c r="I2252">
        <v>77440.78</v>
      </c>
      <c r="J2252">
        <v>162137.45000000001</v>
      </c>
      <c r="K2252">
        <v>198105.97</v>
      </c>
    </row>
    <row r="2253" spans="1:12" x14ac:dyDescent="0.2">
      <c r="A2253" t="s">
        <v>59</v>
      </c>
      <c r="B2253" t="s">
        <v>110</v>
      </c>
      <c r="C2253" t="s">
        <v>197</v>
      </c>
      <c r="D2253">
        <v>439344.03</v>
      </c>
      <c r="E2253">
        <v>447421.52</v>
      </c>
      <c r="I2253">
        <v>96923.55</v>
      </c>
      <c r="J2253">
        <v>167147.97</v>
      </c>
    </row>
    <row r="2254" spans="1:12" x14ac:dyDescent="0.2">
      <c r="A2254" t="s">
        <v>59</v>
      </c>
      <c r="B2254" t="s">
        <v>110</v>
      </c>
      <c r="C2254" t="s">
        <v>198</v>
      </c>
      <c r="D2254">
        <v>408361.95</v>
      </c>
      <c r="I2254">
        <v>84082.52</v>
      </c>
    </row>
    <row r="2255" spans="1:12" x14ac:dyDescent="0.2">
      <c r="A2255" t="s">
        <v>59</v>
      </c>
      <c r="B2255" t="s">
        <v>116</v>
      </c>
      <c r="C2255" t="s">
        <v>195</v>
      </c>
      <c r="D2255">
        <v>8026</v>
      </c>
      <c r="E2255">
        <v>10851</v>
      </c>
      <c r="F2255">
        <v>12801</v>
      </c>
      <c r="G2255">
        <v>18051</v>
      </c>
      <c r="I2255">
        <v>1302.25</v>
      </c>
      <c r="J2255">
        <v>3138.5</v>
      </c>
      <c r="K2255">
        <v>4078.5</v>
      </c>
      <c r="L2255">
        <v>4528.5</v>
      </c>
    </row>
    <row r="2256" spans="1:12" x14ac:dyDescent="0.2">
      <c r="A2256" t="s">
        <v>59</v>
      </c>
      <c r="B2256" t="s">
        <v>116</v>
      </c>
      <c r="C2256" t="s">
        <v>196</v>
      </c>
      <c r="D2256">
        <v>6150</v>
      </c>
      <c r="E2256">
        <v>14725</v>
      </c>
      <c r="F2256">
        <v>23125</v>
      </c>
      <c r="I2256">
        <v>1600</v>
      </c>
      <c r="J2256">
        <v>3571.25</v>
      </c>
      <c r="K2256">
        <v>4922.5</v>
      </c>
    </row>
    <row r="2257" spans="1:12" x14ac:dyDescent="0.2">
      <c r="A2257" t="s">
        <v>59</v>
      </c>
      <c r="B2257" t="s">
        <v>116</v>
      </c>
      <c r="C2257" t="s">
        <v>197</v>
      </c>
      <c r="D2257">
        <v>25705</v>
      </c>
      <c r="E2257">
        <v>35705</v>
      </c>
      <c r="I2257">
        <v>1250</v>
      </c>
      <c r="J2257">
        <v>2860</v>
      </c>
    </row>
    <row r="2258" spans="1:12" x14ac:dyDescent="0.2">
      <c r="A2258" t="s">
        <v>59</v>
      </c>
      <c r="B2258" t="s">
        <v>116</v>
      </c>
      <c r="C2258" t="s">
        <v>198</v>
      </c>
      <c r="D2258">
        <v>13952</v>
      </c>
      <c r="I2258">
        <v>2085.25</v>
      </c>
    </row>
    <row r="2259" spans="1:12" x14ac:dyDescent="0.2">
      <c r="A2259" t="s">
        <v>59</v>
      </c>
      <c r="B2259" t="s">
        <v>114</v>
      </c>
      <c r="C2259" t="s">
        <v>195</v>
      </c>
      <c r="D2259">
        <v>424900.25</v>
      </c>
      <c r="E2259">
        <v>439176.74</v>
      </c>
      <c r="F2259">
        <v>448893.7</v>
      </c>
      <c r="G2259">
        <v>455152.95</v>
      </c>
      <c r="I2259">
        <v>145793.14000000001</v>
      </c>
      <c r="J2259">
        <v>268520.40999999997</v>
      </c>
      <c r="K2259">
        <v>311863.39</v>
      </c>
      <c r="L2259">
        <v>336868.54</v>
      </c>
    </row>
    <row r="2260" spans="1:12" x14ac:dyDescent="0.2">
      <c r="A2260" t="s">
        <v>59</v>
      </c>
      <c r="B2260" t="s">
        <v>114</v>
      </c>
      <c r="C2260" t="s">
        <v>196</v>
      </c>
      <c r="D2260">
        <v>407784.25</v>
      </c>
      <c r="E2260">
        <v>417425.75</v>
      </c>
      <c r="F2260">
        <v>425120.02</v>
      </c>
      <c r="I2260">
        <v>151477.74</v>
      </c>
      <c r="J2260">
        <v>221642.32</v>
      </c>
      <c r="K2260">
        <v>258932.1</v>
      </c>
    </row>
    <row r="2261" spans="1:12" x14ac:dyDescent="0.2">
      <c r="A2261" t="s">
        <v>59</v>
      </c>
      <c r="B2261" t="s">
        <v>114</v>
      </c>
      <c r="C2261" t="s">
        <v>197</v>
      </c>
      <c r="D2261">
        <v>443487.08</v>
      </c>
      <c r="E2261">
        <v>452116.94</v>
      </c>
      <c r="I2261">
        <v>152531.49</v>
      </c>
      <c r="J2261">
        <v>229855.22</v>
      </c>
    </row>
    <row r="2262" spans="1:12" x14ac:dyDescent="0.2">
      <c r="A2262" t="s">
        <v>59</v>
      </c>
      <c r="B2262" t="s">
        <v>114</v>
      </c>
      <c r="C2262" t="s">
        <v>198</v>
      </c>
      <c r="D2262">
        <v>414945.12</v>
      </c>
      <c r="I2262">
        <v>149715.73000000001</v>
      </c>
    </row>
    <row r="2263" spans="1:12" x14ac:dyDescent="0.2">
      <c r="A2263" t="s">
        <v>59</v>
      </c>
      <c r="B2263" t="s">
        <v>111</v>
      </c>
      <c r="C2263" t="s">
        <v>195</v>
      </c>
      <c r="D2263">
        <v>354400</v>
      </c>
      <c r="E2263">
        <v>354400</v>
      </c>
      <c r="F2263">
        <v>354400</v>
      </c>
      <c r="G2263">
        <v>354400</v>
      </c>
      <c r="I2263">
        <v>354400</v>
      </c>
      <c r="J2263">
        <v>354400</v>
      </c>
      <c r="K2263">
        <v>354400</v>
      </c>
      <c r="L2263">
        <v>354400</v>
      </c>
    </row>
    <row r="2264" spans="1:12" x14ac:dyDescent="0.2">
      <c r="A2264" t="s">
        <v>59</v>
      </c>
      <c r="B2264" t="s">
        <v>111</v>
      </c>
      <c r="C2264" t="s">
        <v>196</v>
      </c>
      <c r="D2264">
        <v>438122.5</v>
      </c>
      <c r="E2264">
        <v>438122.5</v>
      </c>
      <c r="F2264">
        <v>438122.5</v>
      </c>
      <c r="I2264">
        <v>438122.5</v>
      </c>
      <c r="J2264">
        <v>438122.5</v>
      </c>
      <c r="K2264">
        <v>438122.5</v>
      </c>
    </row>
    <row r="2265" spans="1:12" x14ac:dyDescent="0.2">
      <c r="A2265" t="s">
        <v>59</v>
      </c>
      <c r="B2265" t="s">
        <v>111</v>
      </c>
      <c r="C2265" t="s">
        <v>197</v>
      </c>
      <c r="D2265">
        <v>481630</v>
      </c>
      <c r="E2265">
        <v>481630</v>
      </c>
      <c r="I2265">
        <v>481630</v>
      </c>
      <c r="J2265">
        <v>481630</v>
      </c>
    </row>
    <row r="2266" spans="1:12" x14ac:dyDescent="0.2">
      <c r="A2266" t="s">
        <v>59</v>
      </c>
      <c r="B2266" t="s">
        <v>111</v>
      </c>
      <c r="C2266" t="s">
        <v>198</v>
      </c>
      <c r="D2266">
        <v>394300</v>
      </c>
      <c r="I2266">
        <v>394300</v>
      </c>
    </row>
    <row r="2267" spans="1:12" x14ac:dyDescent="0.2">
      <c r="A2267" t="s">
        <v>59</v>
      </c>
      <c r="B2267" t="s">
        <v>112</v>
      </c>
      <c r="C2267" t="s">
        <v>195</v>
      </c>
      <c r="D2267">
        <v>393175</v>
      </c>
      <c r="E2267">
        <v>393175</v>
      </c>
      <c r="F2267">
        <v>393175</v>
      </c>
      <c r="G2267">
        <v>393175</v>
      </c>
      <c r="I2267">
        <v>393175</v>
      </c>
      <c r="J2267">
        <v>393175</v>
      </c>
      <c r="K2267">
        <v>393175</v>
      </c>
      <c r="L2267">
        <v>393175</v>
      </c>
    </row>
    <row r="2268" spans="1:12" x14ac:dyDescent="0.2">
      <c r="A2268" t="s">
        <v>59</v>
      </c>
      <c r="B2268" t="s">
        <v>112</v>
      </c>
      <c r="C2268" t="s">
        <v>196</v>
      </c>
      <c r="D2268">
        <v>396722.5</v>
      </c>
      <c r="E2268">
        <v>396722.5</v>
      </c>
      <c r="F2268">
        <v>396722.5</v>
      </c>
      <c r="I2268">
        <v>396722.5</v>
      </c>
      <c r="J2268">
        <v>396722.5</v>
      </c>
      <c r="K2268">
        <v>396722.5</v>
      </c>
    </row>
    <row r="2269" spans="1:12" x14ac:dyDescent="0.2">
      <c r="A2269" t="s">
        <v>59</v>
      </c>
      <c r="B2269" t="s">
        <v>112</v>
      </c>
      <c r="C2269" t="s">
        <v>197</v>
      </c>
      <c r="D2269">
        <v>414452.5</v>
      </c>
      <c r="E2269">
        <v>414452.5</v>
      </c>
      <c r="I2269">
        <v>414452.5</v>
      </c>
      <c r="J2269">
        <v>414452.5</v>
      </c>
    </row>
    <row r="2270" spans="1:12" x14ac:dyDescent="0.2">
      <c r="A2270" t="s">
        <v>59</v>
      </c>
      <c r="B2270" t="s">
        <v>112</v>
      </c>
      <c r="C2270" t="s">
        <v>198</v>
      </c>
      <c r="D2270">
        <v>321422.5</v>
      </c>
      <c r="I2270">
        <v>321422.5</v>
      </c>
    </row>
    <row r="2271" spans="1:12" x14ac:dyDescent="0.2">
      <c r="A2271" t="s">
        <v>59</v>
      </c>
      <c r="B2271" t="s">
        <v>115</v>
      </c>
      <c r="C2271" t="s">
        <v>195</v>
      </c>
      <c r="D2271">
        <v>2177764.5</v>
      </c>
      <c r="E2271">
        <v>2308715.0699999998</v>
      </c>
      <c r="F2271">
        <v>2312708.88</v>
      </c>
      <c r="G2271">
        <v>2317343.88</v>
      </c>
      <c r="I2271">
        <v>892044.25</v>
      </c>
      <c r="J2271">
        <v>1474488.61</v>
      </c>
      <c r="K2271">
        <v>1622607.05</v>
      </c>
      <c r="L2271">
        <v>1725430.86</v>
      </c>
    </row>
    <row r="2272" spans="1:12" x14ac:dyDescent="0.2">
      <c r="A2272" t="s">
        <v>59</v>
      </c>
      <c r="B2272" t="s">
        <v>115</v>
      </c>
      <c r="C2272" t="s">
        <v>196</v>
      </c>
      <c r="D2272">
        <v>2444533.31</v>
      </c>
      <c r="E2272">
        <v>2583385.31</v>
      </c>
      <c r="F2272">
        <v>2586618.31</v>
      </c>
      <c r="I2272">
        <v>1037211.72</v>
      </c>
      <c r="J2272">
        <v>1636408.73</v>
      </c>
      <c r="K2272">
        <v>1810203.83</v>
      </c>
    </row>
    <row r="2273" spans="1:12" x14ac:dyDescent="0.2">
      <c r="A2273" t="s">
        <v>59</v>
      </c>
      <c r="B2273" t="s">
        <v>115</v>
      </c>
      <c r="C2273" t="s">
        <v>197</v>
      </c>
      <c r="D2273">
        <v>2763412.81</v>
      </c>
      <c r="E2273">
        <v>2918447.12</v>
      </c>
      <c r="I2273">
        <v>1156882.5</v>
      </c>
      <c r="J2273">
        <v>1798173.9</v>
      </c>
    </row>
    <row r="2274" spans="1:12" x14ac:dyDescent="0.2">
      <c r="A2274" t="s">
        <v>59</v>
      </c>
      <c r="B2274" t="s">
        <v>115</v>
      </c>
      <c r="C2274" t="s">
        <v>198</v>
      </c>
      <c r="D2274">
        <v>2449978</v>
      </c>
      <c r="I2274">
        <v>982528.25</v>
      </c>
    </row>
    <row r="2275" spans="1:12" x14ac:dyDescent="0.2">
      <c r="A2275" t="s">
        <v>59</v>
      </c>
      <c r="B2275" t="s">
        <v>113</v>
      </c>
      <c r="C2275" t="s">
        <v>195</v>
      </c>
      <c r="D2275">
        <v>87244</v>
      </c>
      <c r="E2275">
        <v>87244</v>
      </c>
      <c r="F2275">
        <v>87244</v>
      </c>
      <c r="G2275">
        <v>87244</v>
      </c>
      <c r="I2275">
        <v>87244</v>
      </c>
      <c r="J2275">
        <v>87244</v>
      </c>
      <c r="K2275">
        <v>87244</v>
      </c>
      <c r="L2275">
        <v>87244</v>
      </c>
    </row>
    <row r="2276" spans="1:12" x14ac:dyDescent="0.2">
      <c r="A2276" t="s">
        <v>59</v>
      </c>
      <c r="B2276" t="s">
        <v>113</v>
      </c>
      <c r="C2276" t="s">
        <v>196</v>
      </c>
      <c r="D2276">
        <v>102035</v>
      </c>
      <c r="E2276">
        <v>102035</v>
      </c>
      <c r="F2276">
        <v>102035</v>
      </c>
      <c r="I2276">
        <v>102035</v>
      </c>
      <c r="J2276">
        <v>102035</v>
      </c>
      <c r="K2276">
        <v>102035</v>
      </c>
    </row>
    <row r="2277" spans="1:12" x14ac:dyDescent="0.2">
      <c r="A2277" t="s">
        <v>59</v>
      </c>
      <c r="B2277" t="s">
        <v>113</v>
      </c>
      <c r="C2277" t="s">
        <v>197</v>
      </c>
      <c r="D2277">
        <v>102237</v>
      </c>
      <c r="E2277">
        <v>102237</v>
      </c>
      <c r="I2277">
        <v>102237</v>
      </c>
      <c r="J2277">
        <v>102237</v>
      </c>
    </row>
    <row r="2278" spans="1:12" x14ac:dyDescent="0.2">
      <c r="A2278" t="s">
        <v>59</v>
      </c>
      <c r="B2278" t="s">
        <v>113</v>
      </c>
      <c r="C2278" t="s">
        <v>198</v>
      </c>
      <c r="D2278">
        <v>92024</v>
      </c>
      <c r="I2278">
        <v>92024</v>
      </c>
    </row>
    <row r="2279" spans="1:12" x14ac:dyDescent="0.2">
      <c r="A2279" t="s">
        <v>59</v>
      </c>
      <c r="B2279" t="s">
        <v>72</v>
      </c>
      <c r="C2279" t="s">
        <v>195</v>
      </c>
      <c r="D2279">
        <v>201638.5</v>
      </c>
      <c r="E2279">
        <v>201638.5</v>
      </c>
      <c r="F2279">
        <v>201638.5</v>
      </c>
      <c r="G2279">
        <v>201638.5</v>
      </c>
      <c r="I2279">
        <v>201638.5</v>
      </c>
      <c r="J2279">
        <v>201638.5</v>
      </c>
      <c r="K2279">
        <v>201638.5</v>
      </c>
      <c r="L2279">
        <v>201638.5</v>
      </c>
    </row>
    <row r="2280" spans="1:12" x14ac:dyDescent="0.2">
      <c r="A2280" t="s">
        <v>59</v>
      </c>
      <c r="B2280" t="s">
        <v>72</v>
      </c>
      <c r="C2280" t="s">
        <v>196</v>
      </c>
      <c r="D2280">
        <v>229332.5</v>
      </c>
      <c r="E2280">
        <v>229332.5</v>
      </c>
      <c r="F2280">
        <v>229332.5</v>
      </c>
      <c r="I2280">
        <v>229332.5</v>
      </c>
      <c r="J2280">
        <v>229332.5</v>
      </c>
      <c r="K2280">
        <v>229332.5</v>
      </c>
    </row>
    <row r="2281" spans="1:12" x14ac:dyDescent="0.2">
      <c r="A2281" t="s">
        <v>59</v>
      </c>
      <c r="B2281" t="s">
        <v>72</v>
      </c>
      <c r="C2281" t="s">
        <v>197</v>
      </c>
      <c r="D2281">
        <v>239419.5</v>
      </c>
      <c r="E2281">
        <v>239419.5</v>
      </c>
      <c r="I2281">
        <v>239419.5</v>
      </c>
      <c r="J2281">
        <v>239419.5</v>
      </c>
    </row>
    <row r="2282" spans="1:12" x14ac:dyDescent="0.2">
      <c r="A2282" t="s">
        <v>59</v>
      </c>
      <c r="B2282" t="s">
        <v>72</v>
      </c>
      <c r="C2282" t="s">
        <v>198</v>
      </c>
      <c r="D2282">
        <v>213416</v>
      </c>
      <c r="I2282">
        <v>213416</v>
      </c>
    </row>
    <row r="2283" spans="1:12" x14ac:dyDescent="0.2">
      <c r="A2283" s="60" t="s">
        <v>80</v>
      </c>
      <c r="B2283" t="s">
        <v>109</v>
      </c>
      <c r="C2283" t="s">
        <v>195</v>
      </c>
      <c r="D2283">
        <v>411015.19</v>
      </c>
      <c r="E2283">
        <v>410808.19</v>
      </c>
      <c r="F2283">
        <v>411951.19</v>
      </c>
      <c r="G2283">
        <v>411414.97</v>
      </c>
      <c r="I2283">
        <v>12294.8</v>
      </c>
      <c r="J2283">
        <v>20961.52</v>
      </c>
      <c r="K2283">
        <v>30809.57</v>
      </c>
      <c r="L2283">
        <v>35881.379999999997</v>
      </c>
    </row>
    <row r="2284" spans="1:12" x14ac:dyDescent="0.2">
      <c r="A2284" s="60" t="s">
        <v>80</v>
      </c>
      <c r="B2284" t="s">
        <v>109</v>
      </c>
      <c r="C2284" t="s">
        <v>196</v>
      </c>
      <c r="D2284">
        <v>622968.96</v>
      </c>
      <c r="E2284">
        <v>623082.43000000005</v>
      </c>
      <c r="F2284">
        <v>622863.16</v>
      </c>
      <c r="I2284">
        <v>16410.580000000002</v>
      </c>
      <c r="J2284">
        <v>26285.9</v>
      </c>
      <c r="K2284">
        <v>33685.800000000003</v>
      </c>
    </row>
    <row r="2285" spans="1:12" x14ac:dyDescent="0.2">
      <c r="A2285" s="60" t="s">
        <v>80</v>
      </c>
      <c r="B2285" t="s">
        <v>109</v>
      </c>
      <c r="C2285" t="s">
        <v>197</v>
      </c>
      <c r="D2285">
        <v>404170.63</v>
      </c>
      <c r="E2285">
        <v>403856.63</v>
      </c>
      <c r="I2285">
        <v>15140.31</v>
      </c>
      <c r="J2285">
        <v>20958.849999999999</v>
      </c>
    </row>
    <row r="2286" spans="1:12" x14ac:dyDescent="0.2">
      <c r="A2286" s="60" t="s">
        <v>80</v>
      </c>
      <c r="B2286" t="s">
        <v>109</v>
      </c>
      <c r="C2286" t="s">
        <v>198</v>
      </c>
      <c r="D2286">
        <v>409660</v>
      </c>
      <c r="I2286">
        <v>13782.19</v>
      </c>
    </row>
    <row r="2287" spans="1:12" x14ac:dyDescent="0.2">
      <c r="A2287" s="60" t="s">
        <v>80</v>
      </c>
      <c r="B2287" t="s">
        <v>145</v>
      </c>
      <c r="C2287" t="s">
        <v>195</v>
      </c>
      <c r="D2287">
        <v>211669</v>
      </c>
      <c r="E2287">
        <v>211669</v>
      </c>
      <c r="F2287">
        <v>211669</v>
      </c>
      <c r="G2287">
        <v>211669</v>
      </c>
      <c r="I2287">
        <v>0</v>
      </c>
      <c r="J2287">
        <v>0</v>
      </c>
      <c r="K2287">
        <v>0</v>
      </c>
      <c r="L2287">
        <v>0</v>
      </c>
    </row>
    <row r="2288" spans="1:12" x14ac:dyDescent="0.2">
      <c r="A2288" s="60" t="s">
        <v>80</v>
      </c>
      <c r="B2288" t="s">
        <v>145</v>
      </c>
      <c r="C2288" t="s">
        <v>196</v>
      </c>
      <c r="D2288">
        <v>369912</v>
      </c>
      <c r="E2288">
        <v>369912</v>
      </c>
      <c r="F2288">
        <v>369912</v>
      </c>
      <c r="I2288">
        <v>0</v>
      </c>
      <c r="J2288">
        <v>0</v>
      </c>
      <c r="K2288">
        <v>0</v>
      </c>
    </row>
    <row r="2289" spans="1:12" x14ac:dyDescent="0.2">
      <c r="A2289" s="60" t="s">
        <v>80</v>
      </c>
      <c r="B2289" t="s">
        <v>145</v>
      </c>
      <c r="C2289" t="s">
        <v>197</v>
      </c>
      <c r="D2289">
        <v>159169</v>
      </c>
      <c r="E2289">
        <v>159169</v>
      </c>
      <c r="I2289">
        <v>0</v>
      </c>
      <c r="J2289">
        <v>0</v>
      </c>
    </row>
    <row r="2290" spans="1:12" x14ac:dyDescent="0.2">
      <c r="A2290" s="60" t="s">
        <v>80</v>
      </c>
      <c r="B2290" t="s">
        <v>145</v>
      </c>
      <c r="C2290" t="s">
        <v>198</v>
      </c>
      <c r="D2290">
        <v>159254</v>
      </c>
      <c r="I2290">
        <v>0</v>
      </c>
    </row>
    <row r="2291" spans="1:12" x14ac:dyDescent="0.2">
      <c r="A2291" s="60" t="s">
        <v>80</v>
      </c>
      <c r="B2291" t="s">
        <v>110</v>
      </c>
      <c r="C2291" t="s">
        <v>195</v>
      </c>
      <c r="D2291">
        <v>150471.32999999999</v>
      </c>
      <c r="E2291">
        <v>146882.32999999999</v>
      </c>
      <c r="F2291">
        <v>144948.32999999999</v>
      </c>
      <c r="G2291">
        <v>142793.32999999999</v>
      </c>
      <c r="I2291">
        <v>26858.27</v>
      </c>
      <c r="J2291">
        <v>45261.68</v>
      </c>
      <c r="K2291">
        <v>55899.75</v>
      </c>
      <c r="L2291">
        <v>59982.22</v>
      </c>
    </row>
    <row r="2292" spans="1:12" x14ac:dyDescent="0.2">
      <c r="A2292" s="60" t="s">
        <v>80</v>
      </c>
      <c r="B2292" t="s">
        <v>110</v>
      </c>
      <c r="C2292" t="s">
        <v>196</v>
      </c>
      <c r="D2292">
        <v>170806.83</v>
      </c>
      <c r="E2292">
        <v>162874.82999999999</v>
      </c>
      <c r="F2292">
        <v>158703.32999999999</v>
      </c>
      <c r="I2292">
        <v>33364</v>
      </c>
      <c r="J2292">
        <v>49131.6</v>
      </c>
      <c r="K2292">
        <v>57658.79</v>
      </c>
    </row>
    <row r="2293" spans="1:12" x14ac:dyDescent="0.2">
      <c r="A2293" s="60" t="s">
        <v>80</v>
      </c>
      <c r="B2293" t="s">
        <v>110</v>
      </c>
      <c r="C2293" t="s">
        <v>197</v>
      </c>
      <c r="D2293">
        <v>159245.65</v>
      </c>
      <c r="E2293">
        <v>155644.65</v>
      </c>
      <c r="I2293">
        <v>34099.29</v>
      </c>
      <c r="J2293">
        <v>46698.8</v>
      </c>
    </row>
    <row r="2294" spans="1:12" x14ac:dyDescent="0.2">
      <c r="A2294" s="60" t="s">
        <v>80</v>
      </c>
      <c r="B2294" t="s">
        <v>110</v>
      </c>
      <c r="C2294" t="s">
        <v>198</v>
      </c>
      <c r="D2294">
        <v>159336.6</v>
      </c>
      <c r="I2294">
        <v>24665.35</v>
      </c>
    </row>
    <row r="2295" spans="1:12" x14ac:dyDescent="0.2">
      <c r="A2295" s="60" t="s">
        <v>80</v>
      </c>
      <c r="B2295" t="s">
        <v>116</v>
      </c>
      <c r="C2295" t="s">
        <v>195</v>
      </c>
      <c r="D2295">
        <v>3154</v>
      </c>
      <c r="E2295">
        <v>2754</v>
      </c>
      <c r="F2295">
        <v>2654</v>
      </c>
      <c r="G2295">
        <v>2554</v>
      </c>
      <c r="I2295">
        <v>692</v>
      </c>
      <c r="J2295">
        <v>692</v>
      </c>
      <c r="K2295">
        <v>692</v>
      </c>
      <c r="L2295">
        <v>692</v>
      </c>
    </row>
    <row r="2296" spans="1:12" x14ac:dyDescent="0.2">
      <c r="A2296" s="60" t="s">
        <v>80</v>
      </c>
      <c r="B2296" t="s">
        <v>116</v>
      </c>
      <c r="C2296" t="s">
        <v>196</v>
      </c>
      <c r="D2296">
        <v>4039</v>
      </c>
      <c r="E2296">
        <v>3389</v>
      </c>
      <c r="F2296">
        <v>3339</v>
      </c>
      <c r="I2296">
        <v>1209</v>
      </c>
      <c r="J2296">
        <v>1324</v>
      </c>
      <c r="K2296">
        <v>1424</v>
      </c>
    </row>
    <row r="2297" spans="1:12" x14ac:dyDescent="0.2">
      <c r="A2297" s="60" t="s">
        <v>80</v>
      </c>
      <c r="B2297" t="s">
        <v>116</v>
      </c>
      <c r="C2297" t="s">
        <v>197</v>
      </c>
      <c r="D2297">
        <v>2921</v>
      </c>
      <c r="E2297">
        <v>2618</v>
      </c>
      <c r="I2297">
        <v>603</v>
      </c>
      <c r="J2297">
        <v>868</v>
      </c>
    </row>
    <row r="2298" spans="1:12" x14ac:dyDescent="0.2">
      <c r="A2298" s="60" t="s">
        <v>80</v>
      </c>
      <c r="B2298" t="s">
        <v>116</v>
      </c>
      <c r="C2298" t="s">
        <v>198</v>
      </c>
      <c r="D2298">
        <v>819</v>
      </c>
      <c r="I2298">
        <v>154</v>
      </c>
    </row>
    <row r="2299" spans="1:12" x14ac:dyDescent="0.2">
      <c r="A2299" s="60" t="s">
        <v>80</v>
      </c>
      <c r="B2299" t="s">
        <v>114</v>
      </c>
      <c r="C2299" t="s">
        <v>195</v>
      </c>
      <c r="D2299">
        <v>124100</v>
      </c>
      <c r="E2299">
        <v>123288</v>
      </c>
      <c r="F2299">
        <v>121897</v>
      </c>
      <c r="G2299">
        <v>120931.5</v>
      </c>
      <c r="I2299">
        <v>40236.06</v>
      </c>
      <c r="J2299">
        <v>59157.07</v>
      </c>
      <c r="K2299">
        <v>69811.81</v>
      </c>
      <c r="L2299">
        <v>81055.12</v>
      </c>
    </row>
    <row r="2300" spans="1:12" x14ac:dyDescent="0.2">
      <c r="A2300" s="60" t="s">
        <v>80</v>
      </c>
      <c r="B2300" t="s">
        <v>114</v>
      </c>
      <c r="C2300" t="s">
        <v>196</v>
      </c>
      <c r="D2300">
        <v>197218.1</v>
      </c>
      <c r="E2300">
        <v>195872.1</v>
      </c>
      <c r="F2300">
        <v>195369.1</v>
      </c>
      <c r="I2300">
        <v>64442.3</v>
      </c>
      <c r="J2300">
        <v>97560.71</v>
      </c>
      <c r="K2300">
        <v>112249.85</v>
      </c>
    </row>
    <row r="2301" spans="1:12" x14ac:dyDescent="0.2">
      <c r="A2301" s="60" t="s">
        <v>80</v>
      </c>
      <c r="B2301" t="s">
        <v>114</v>
      </c>
      <c r="C2301" t="s">
        <v>197</v>
      </c>
      <c r="D2301">
        <v>173552.3</v>
      </c>
      <c r="E2301">
        <v>169705.3</v>
      </c>
      <c r="I2301">
        <v>56105</v>
      </c>
      <c r="J2301">
        <v>80077.440000000002</v>
      </c>
    </row>
    <row r="2302" spans="1:12" x14ac:dyDescent="0.2">
      <c r="A2302" s="60" t="s">
        <v>80</v>
      </c>
      <c r="B2302" t="s">
        <v>114</v>
      </c>
      <c r="C2302" t="s">
        <v>198</v>
      </c>
      <c r="D2302">
        <v>190132.75</v>
      </c>
      <c r="I2302">
        <v>57785.32</v>
      </c>
    </row>
    <row r="2303" spans="1:12" x14ac:dyDescent="0.2">
      <c r="A2303" s="60" t="s">
        <v>80</v>
      </c>
      <c r="B2303" t="s">
        <v>111</v>
      </c>
      <c r="C2303" t="s">
        <v>195</v>
      </c>
      <c r="D2303">
        <v>236031.82</v>
      </c>
      <c r="E2303">
        <v>236031.82</v>
      </c>
      <c r="F2303">
        <v>236031.82</v>
      </c>
      <c r="G2303">
        <v>236031.82</v>
      </c>
      <c r="I2303">
        <v>227461.82</v>
      </c>
      <c r="J2303">
        <v>231276.82</v>
      </c>
      <c r="K2303">
        <v>231276.82</v>
      </c>
      <c r="L2303">
        <v>231276.82</v>
      </c>
    </row>
    <row r="2304" spans="1:12" x14ac:dyDescent="0.2">
      <c r="A2304" s="60" t="s">
        <v>80</v>
      </c>
      <c r="B2304" t="s">
        <v>111</v>
      </c>
      <c r="C2304" t="s">
        <v>196</v>
      </c>
      <c r="D2304">
        <v>296757.78000000003</v>
      </c>
      <c r="E2304">
        <v>296687.78000000003</v>
      </c>
      <c r="F2304">
        <v>296687.78000000003</v>
      </c>
      <c r="I2304">
        <v>289891.78000000003</v>
      </c>
      <c r="J2304">
        <v>295426.78000000003</v>
      </c>
      <c r="K2304">
        <v>295426.78000000003</v>
      </c>
    </row>
    <row r="2305" spans="1:12" x14ac:dyDescent="0.2">
      <c r="A2305" s="60" t="s">
        <v>80</v>
      </c>
      <c r="B2305" t="s">
        <v>111</v>
      </c>
      <c r="C2305" t="s">
        <v>197</v>
      </c>
      <c r="D2305">
        <v>380922.52</v>
      </c>
      <c r="E2305">
        <v>380527.52</v>
      </c>
      <c r="I2305">
        <v>376071.52</v>
      </c>
      <c r="J2305">
        <v>379661.52</v>
      </c>
    </row>
    <row r="2306" spans="1:12" x14ac:dyDescent="0.2">
      <c r="A2306" s="60" t="s">
        <v>80</v>
      </c>
      <c r="B2306" t="s">
        <v>111</v>
      </c>
      <c r="C2306" t="s">
        <v>198</v>
      </c>
      <c r="D2306">
        <v>299236.15000000002</v>
      </c>
      <c r="I2306">
        <v>294826.15000000002</v>
      </c>
    </row>
    <row r="2307" spans="1:12" x14ac:dyDescent="0.2">
      <c r="A2307" s="60" t="s">
        <v>80</v>
      </c>
      <c r="B2307" t="s">
        <v>112</v>
      </c>
      <c r="C2307" t="s">
        <v>195</v>
      </c>
      <c r="D2307">
        <v>121346.57</v>
      </c>
      <c r="E2307">
        <v>121346.57</v>
      </c>
      <c r="F2307">
        <v>121346.57</v>
      </c>
      <c r="G2307">
        <v>121346.57</v>
      </c>
      <c r="I2307">
        <v>118311.57</v>
      </c>
      <c r="J2307">
        <v>121046.57</v>
      </c>
      <c r="K2307">
        <v>121046.57</v>
      </c>
      <c r="L2307">
        <v>121046.57</v>
      </c>
    </row>
    <row r="2308" spans="1:12" x14ac:dyDescent="0.2">
      <c r="A2308" s="60" t="s">
        <v>80</v>
      </c>
      <c r="B2308" t="s">
        <v>112</v>
      </c>
      <c r="C2308" t="s">
        <v>196</v>
      </c>
      <c r="D2308">
        <v>158514.39000000001</v>
      </c>
      <c r="E2308">
        <v>158134.39000000001</v>
      </c>
      <c r="F2308">
        <v>158134.39000000001</v>
      </c>
      <c r="I2308">
        <v>155284.39000000001</v>
      </c>
      <c r="J2308">
        <v>157214.39000000001</v>
      </c>
      <c r="K2308">
        <v>157244.39000000001</v>
      </c>
    </row>
    <row r="2309" spans="1:12" x14ac:dyDescent="0.2">
      <c r="A2309" s="60" t="s">
        <v>80</v>
      </c>
      <c r="B2309" t="s">
        <v>112</v>
      </c>
      <c r="C2309" t="s">
        <v>197</v>
      </c>
      <c r="D2309">
        <v>157498.41</v>
      </c>
      <c r="E2309">
        <v>157198.41</v>
      </c>
      <c r="I2309">
        <v>153208.41</v>
      </c>
      <c r="J2309">
        <v>156188.41</v>
      </c>
    </row>
    <row r="2310" spans="1:12" x14ac:dyDescent="0.2">
      <c r="A2310" s="60" t="s">
        <v>80</v>
      </c>
      <c r="B2310" t="s">
        <v>112</v>
      </c>
      <c r="C2310" t="s">
        <v>198</v>
      </c>
      <c r="D2310">
        <v>144411.94</v>
      </c>
      <c r="I2310">
        <v>140196.94</v>
      </c>
    </row>
    <row r="2311" spans="1:12" x14ac:dyDescent="0.2">
      <c r="A2311" s="60" t="s">
        <v>80</v>
      </c>
      <c r="B2311" t="s">
        <v>115</v>
      </c>
      <c r="C2311" t="s">
        <v>195</v>
      </c>
      <c r="D2311">
        <v>675501.45</v>
      </c>
      <c r="E2311">
        <v>651260.44999999995</v>
      </c>
      <c r="F2311">
        <v>641201.94999999995</v>
      </c>
      <c r="G2311">
        <v>638027.94999999995</v>
      </c>
      <c r="I2311">
        <v>273851.45</v>
      </c>
      <c r="J2311">
        <v>506480.95</v>
      </c>
      <c r="K2311">
        <v>559048.94999999995</v>
      </c>
      <c r="L2311">
        <v>573866.94999999995</v>
      </c>
    </row>
    <row r="2312" spans="1:12" x14ac:dyDescent="0.2">
      <c r="A2312" s="60" t="s">
        <v>80</v>
      </c>
      <c r="B2312" t="s">
        <v>115</v>
      </c>
      <c r="C2312" t="s">
        <v>196</v>
      </c>
      <c r="D2312">
        <v>754815.1</v>
      </c>
      <c r="E2312">
        <v>734100.1</v>
      </c>
      <c r="F2312">
        <v>726283.1</v>
      </c>
      <c r="I2312">
        <v>363603.1</v>
      </c>
      <c r="J2312">
        <v>590882.86</v>
      </c>
      <c r="K2312">
        <v>641755.6</v>
      </c>
    </row>
    <row r="2313" spans="1:12" x14ac:dyDescent="0.2">
      <c r="A2313" s="60" t="s">
        <v>80</v>
      </c>
      <c r="B2313" t="s">
        <v>115</v>
      </c>
      <c r="C2313" t="s">
        <v>197</v>
      </c>
      <c r="D2313">
        <v>803516.75</v>
      </c>
      <c r="E2313">
        <v>774313.75</v>
      </c>
      <c r="I2313">
        <v>396620.75</v>
      </c>
      <c r="J2313">
        <v>623689.75</v>
      </c>
    </row>
    <row r="2314" spans="1:12" x14ac:dyDescent="0.2">
      <c r="A2314" s="60" t="s">
        <v>80</v>
      </c>
      <c r="B2314" t="s">
        <v>115</v>
      </c>
      <c r="C2314" t="s">
        <v>198</v>
      </c>
      <c r="D2314">
        <v>667572.75</v>
      </c>
      <c r="I2314">
        <v>316300.75</v>
      </c>
    </row>
    <row r="2315" spans="1:12" x14ac:dyDescent="0.2">
      <c r="A2315" s="60" t="s">
        <v>80</v>
      </c>
      <c r="B2315" t="s">
        <v>113</v>
      </c>
      <c r="C2315" t="s">
        <v>195</v>
      </c>
      <c r="D2315">
        <v>63619</v>
      </c>
      <c r="E2315">
        <v>63619</v>
      </c>
      <c r="F2315">
        <v>63274</v>
      </c>
      <c r="G2315">
        <v>62529</v>
      </c>
      <c r="I2315">
        <v>61843</v>
      </c>
      <c r="J2315">
        <v>62643</v>
      </c>
      <c r="K2315">
        <v>62298</v>
      </c>
      <c r="L2315">
        <v>61553</v>
      </c>
    </row>
    <row r="2316" spans="1:12" x14ac:dyDescent="0.2">
      <c r="A2316" s="60" t="s">
        <v>80</v>
      </c>
      <c r="B2316" t="s">
        <v>113</v>
      </c>
      <c r="C2316" t="s">
        <v>196</v>
      </c>
      <c r="D2316">
        <v>75984</v>
      </c>
      <c r="E2316">
        <v>75984</v>
      </c>
      <c r="F2316">
        <v>75984</v>
      </c>
      <c r="I2316">
        <v>75343</v>
      </c>
      <c r="J2316">
        <v>75743</v>
      </c>
      <c r="K2316">
        <v>75743</v>
      </c>
    </row>
    <row r="2317" spans="1:12" x14ac:dyDescent="0.2">
      <c r="A2317" s="60" t="s">
        <v>80</v>
      </c>
      <c r="B2317" t="s">
        <v>113</v>
      </c>
      <c r="C2317" t="s">
        <v>197</v>
      </c>
      <c r="D2317">
        <v>79817</v>
      </c>
      <c r="E2317">
        <v>79817</v>
      </c>
      <c r="I2317">
        <v>75076</v>
      </c>
      <c r="J2317">
        <v>79127</v>
      </c>
    </row>
    <row r="2318" spans="1:12" x14ac:dyDescent="0.2">
      <c r="A2318" s="60" t="s">
        <v>80</v>
      </c>
      <c r="B2318" t="s">
        <v>113</v>
      </c>
      <c r="C2318" t="s">
        <v>198</v>
      </c>
      <c r="D2318">
        <v>64362</v>
      </c>
      <c r="I2318">
        <v>62746</v>
      </c>
    </row>
    <row r="2319" spans="1:12" x14ac:dyDescent="0.2">
      <c r="A2319" s="60" t="s">
        <v>80</v>
      </c>
      <c r="B2319" t="s">
        <v>72</v>
      </c>
      <c r="C2319" t="s">
        <v>195</v>
      </c>
      <c r="D2319">
        <v>99260.5</v>
      </c>
      <c r="E2319">
        <v>97160.5</v>
      </c>
      <c r="F2319">
        <v>96802.5</v>
      </c>
      <c r="G2319">
        <v>96802.5</v>
      </c>
      <c r="I2319">
        <v>94902.5</v>
      </c>
      <c r="J2319">
        <v>95314.5</v>
      </c>
      <c r="K2319">
        <v>94906.5</v>
      </c>
      <c r="L2319">
        <v>94906.5</v>
      </c>
    </row>
    <row r="2320" spans="1:12" x14ac:dyDescent="0.2">
      <c r="A2320" s="60" t="s">
        <v>80</v>
      </c>
      <c r="B2320" t="s">
        <v>72</v>
      </c>
      <c r="C2320" t="s">
        <v>196</v>
      </c>
      <c r="D2320">
        <v>151272</v>
      </c>
      <c r="E2320">
        <v>150156</v>
      </c>
      <c r="F2320">
        <v>149861</v>
      </c>
      <c r="I2320">
        <v>144674</v>
      </c>
      <c r="J2320">
        <v>145500</v>
      </c>
      <c r="K2320">
        <v>145500</v>
      </c>
    </row>
    <row r="2321" spans="1:12" x14ac:dyDescent="0.2">
      <c r="A2321" s="60" t="s">
        <v>80</v>
      </c>
      <c r="B2321" t="s">
        <v>72</v>
      </c>
      <c r="C2321" t="s">
        <v>197</v>
      </c>
      <c r="D2321">
        <v>137456.20000000001</v>
      </c>
      <c r="E2321">
        <v>136748.20000000001</v>
      </c>
      <c r="I2321">
        <v>133114.20000000001</v>
      </c>
      <c r="J2321">
        <v>134550.20000000001</v>
      </c>
    </row>
    <row r="2322" spans="1:12" x14ac:dyDescent="0.2">
      <c r="A2322" s="60" t="s">
        <v>80</v>
      </c>
      <c r="B2322" t="s">
        <v>72</v>
      </c>
      <c r="C2322" t="s">
        <v>198</v>
      </c>
      <c r="D2322">
        <v>134288.4</v>
      </c>
      <c r="I2322">
        <v>128608.4</v>
      </c>
    </row>
    <row r="2323" spans="1:12" x14ac:dyDescent="0.2">
      <c r="A2323" s="60" t="s">
        <v>82</v>
      </c>
      <c r="B2323" t="s">
        <v>109</v>
      </c>
      <c r="C2323" t="s">
        <v>195</v>
      </c>
      <c r="D2323">
        <v>747455.4</v>
      </c>
      <c r="E2323">
        <v>751219.91</v>
      </c>
      <c r="F2323">
        <v>745855.89</v>
      </c>
      <c r="G2323">
        <v>745578.39</v>
      </c>
      <c r="I2323">
        <v>17894.86</v>
      </c>
      <c r="J2323">
        <v>35747.24</v>
      </c>
      <c r="K2323">
        <v>52516.82</v>
      </c>
      <c r="L2323">
        <v>69799.95</v>
      </c>
    </row>
    <row r="2324" spans="1:12" x14ac:dyDescent="0.2">
      <c r="A2324" s="60" t="s">
        <v>82</v>
      </c>
      <c r="B2324" t="s">
        <v>109</v>
      </c>
      <c r="C2324" t="s">
        <v>196</v>
      </c>
      <c r="D2324">
        <v>902536.1</v>
      </c>
      <c r="E2324">
        <v>899922.66</v>
      </c>
      <c r="F2324">
        <v>897422.66</v>
      </c>
      <c r="I2324">
        <v>39720.47</v>
      </c>
      <c r="J2324">
        <v>67864.86</v>
      </c>
      <c r="K2324">
        <v>89037.39</v>
      </c>
    </row>
    <row r="2325" spans="1:12" x14ac:dyDescent="0.2">
      <c r="A2325" s="60" t="s">
        <v>82</v>
      </c>
      <c r="B2325" t="s">
        <v>109</v>
      </c>
      <c r="C2325" t="s">
        <v>197</v>
      </c>
      <c r="D2325">
        <v>989320.83</v>
      </c>
      <c r="E2325">
        <v>949921.12</v>
      </c>
      <c r="I2325">
        <v>28505.759999999998</v>
      </c>
      <c r="J2325">
        <v>49031.68</v>
      </c>
    </row>
    <row r="2326" spans="1:12" x14ac:dyDescent="0.2">
      <c r="A2326" s="60" t="s">
        <v>82</v>
      </c>
      <c r="B2326" t="s">
        <v>109</v>
      </c>
      <c r="C2326" t="s">
        <v>198</v>
      </c>
      <c r="D2326">
        <v>614594.92000000004</v>
      </c>
      <c r="I2326">
        <v>21046.48</v>
      </c>
    </row>
    <row r="2327" spans="1:12" x14ac:dyDescent="0.2">
      <c r="A2327" s="60" t="s">
        <v>82</v>
      </c>
      <c r="B2327" t="s">
        <v>145</v>
      </c>
      <c r="C2327" t="s">
        <v>195</v>
      </c>
      <c r="D2327">
        <v>215899</v>
      </c>
      <c r="E2327">
        <v>215799</v>
      </c>
      <c r="F2327">
        <v>215749</v>
      </c>
      <c r="G2327">
        <v>215749</v>
      </c>
      <c r="I2327">
        <v>49.57</v>
      </c>
      <c r="J2327">
        <v>49.9</v>
      </c>
      <c r="K2327">
        <v>50.11</v>
      </c>
      <c r="L2327">
        <v>110.42</v>
      </c>
    </row>
    <row r="2328" spans="1:12" x14ac:dyDescent="0.2">
      <c r="A2328" s="60" t="s">
        <v>82</v>
      </c>
      <c r="B2328" t="s">
        <v>145</v>
      </c>
      <c r="C2328" t="s">
        <v>196</v>
      </c>
      <c r="D2328">
        <v>299306.75</v>
      </c>
      <c r="E2328">
        <v>299381.75</v>
      </c>
      <c r="F2328">
        <v>299281.75</v>
      </c>
      <c r="I2328">
        <v>3754.23</v>
      </c>
      <c r="J2328">
        <v>3848.57</v>
      </c>
      <c r="K2328">
        <v>3983.3</v>
      </c>
    </row>
    <row r="2329" spans="1:12" x14ac:dyDescent="0.2">
      <c r="A2329" s="60" t="s">
        <v>82</v>
      </c>
      <c r="B2329" t="s">
        <v>145</v>
      </c>
      <c r="C2329" t="s">
        <v>197</v>
      </c>
      <c r="D2329">
        <v>375740</v>
      </c>
      <c r="E2329">
        <v>341802.14</v>
      </c>
      <c r="I2329">
        <v>153.59</v>
      </c>
      <c r="J2329">
        <v>157.66</v>
      </c>
    </row>
    <row r="2330" spans="1:12" x14ac:dyDescent="0.2">
      <c r="A2330" s="60" t="s">
        <v>82</v>
      </c>
      <c r="B2330" t="s">
        <v>145</v>
      </c>
      <c r="C2330" t="s">
        <v>198</v>
      </c>
      <c r="D2330">
        <v>53893</v>
      </c>
      <c r="I2330">
        <v>152.74</v>
      </c>
    </row>
    <row r="2331" spans="1:12" x14ac:dyDescent="0.2">
      <c r="A2331" s="60" t="s">
        <v>82</v>
      </c>
      <c r="B2331" t="s">
        <v>110</v>
      </c>
      <c r="C2331" t="s">
        <v>195</v>
      </c>
      <c r="D2331">
        <v>316085.83</v>
      </c>
      <c r="E2331">
        <v>311122.09999999998</v>
      </c>
      <c r="F2331">
        <v>300870.15000000002</v>
      </c>
      <c r="G2331">
        <v>297633.36</v>
      </c>
      <c r="I2331">
        <v>42568.57</v>
      </c>
      <c r="J2331">
        <v>83110.23</v>
      </c>
      <c r="K2331">
        <v>102988.59</v>
      </c>
      <c r="L2331">
        <v>117419.64</v>
      </c>
    </row>
    <row r="2332" spans="1:12" x14ac:dyDescent="0.2">
      <c r="A2332" s="60" t="s">
        <v>82</v>
      </c>
      <c r="B2332" t="s">
        <v>110</v>
      </c>
      <c r="C2332" t="s">
        <v>196</v>
      </c>
      <c r="D2332">
        <v>338152</v>
      </c>
      <c r="E2332">
        <v>330910.01</v>
      </c>
      <c r="F2332">
        <v>326057.62</v>
      </c>
      <c r="I2332">
        <v>55355.32</v>
      </c>
      <c r="J2332">
        <v>95223.82</v>
      </c>
      <c r="K2332">
        <v>119084</v>
      </c>
    </row>
    <row r="2333" spans="1:12" x14ac:dyDescent="0.2">
      <c r="A2333" s="60" t="s">
        <v>82</v>
      </c>
      <c r="B2333" t="s">
        <v>110</v>
      </c>
      <c r="C2333" t="s">
        <v>197</v>
      </c>
      <c r="D2333">
        <v>312061.25</v>
      </c>
      <c r="E2333">
        <v>307011.36</v>
      </c>
      <c r="I2333">
        <v>52468.29</v>
      </c>
      <c r="J2333">
        <v>86593.38</v>
      </c>
    </row>
    <row r="2334" spans="1:12" x14ac:dyDescent="0.2">
      <c r="A2334" s="60" t="s">
        <v>82</v>
      </c>
      <c r="B2334" t="s">
        <v>110</v>
      </c>
      <c r="C2334" t="s">
        <v>198</v>
      </c>
      <c r="D2334">
        <v>275002.27</v>
      </c>
      <c r="I2334">
        <v>37809.03</v>
      </c>
    </row>
    <row r="2335" spans="1:12" x14ac:dyDescent="0.2">
      <c r="A2335" s="60" t="s">
        <v>82</v>
      </c>
      <c r="B2335" t="s">
        <v>116</v>
      </c>
      <c r="C2335" t="s">
        <v>195</v>
      </c>
      <c r="D2335">
        <v>57477</v>
      </c>
      <c r="E2335">
        <v>57376.71</v>
      </c>
      <c r="F2335">
        <v>57223.71</v>
      </c>
      <c r="G2335">
        <v>56998.27</v>
      </c>
      <c r="I2335">
        <v>2924.22</v>
      </c>
      <c r="J2335">
        <v>7838.56</v>
      </c>
      <c r="K2335">
        <v>9517.7099999999991</v>
      </c>
      <c r="L2335">
        <v>11074.48</v>
      </c>
    </row>
    <row r="2336" spans="1:12" x14ac:dyDescent="0.2">
      <c r="A2336" s="60" t="s">
        <v>82</v>
      </c>
      <c r="B2336" t="s">
        <v>116</v>
      </c>
      <c r="C2336" t="s">
        <v>196</v>
      </c>
      <c r="D2336">
        <v>35340.730000000003</v>
      </c>
      <c r="E2336">
        <v>35340.730000000003</v>
      </c>
      <c r="F2336">
        <v>35340.730000000003</v>
      </c>
      <c r="I2336">
        <v>4191.9399999999996</v>
      </c>
      <c r="J2336">
        <v>8503.7199999999993</v>
      </c>
      <c r="K2336">
        <v>9730.69</v>
      </c>
    </row>
    <row r="2337" spans="1:12" x14ac:dyDescent="0.2">
      <c r="A2337" s="60" t="s">
        <v>82</v>
      </c>
      <c r="B2337" t="s">
        <v>116</v>
      </c>
      <c r="C2337" t="s">
        <v>197</v>
      </c>
      <c r="D2337">
        <v>72496</v>
      </c>
      <c r="E2337">
        <v>72420.160000000003</v>
      </c>
      <c r="I2337">
        <v>5110.88</v>
      </c>
      <c r="J2337">
        <v>11880.98</v>
      </c>
    </row>
    <row r="2338" spans="1:12" x14ac:dyDescent="0.2">
      <c r="A2338" s="60" t="s">
        <v>82</v>
      </c>
      <c r="B2338" t="s">
        <v>116</v>
      </c>
      <c r="C2338" t="s">
        <v>198</v>
      </c>
      <c r="D2338">
        <v>36212</v>
      </c>
      <c r="I2338">
        <v>2078.0700000000002</v>
      </c>
    </row>
    <row r="2339" spans="1:12" x14ac:dyDescent="0.2">
      <c r="A2339" s="60" t="s">
        <v>82</v>
      </c>
      <c r="B2339" t="s">
        <v>114</v>
      </c>
      <c r="C2339" t="s">
        <v>195</v>
      </c>
      <c r="D2339">
        <v>297813</v>
      </c>
      <c r="E2339">
        <v>297263.82</v>
      </c>
      <c r="F2339">
        <v>293383.89</v>
      </c>
      <c r="G2339">
        <v>289217.19</v>
      </c>
      <c r="I2339">
        <v>72086.19</v>
      </c>
      <c r="J2339">
        <v>126098.49</v>
      </c>
      <c r="K2339">
        <v>151582.79</v>
      </c>
      <c r="L2339">
        <v>170575.64</v>
      </c>
    </row>
    <row r="2340" spans="1:12" x14ac:dyDescent="0.2">
      <c r="A2340" s="60" t="s">
        <v>82</v>
      </c>
      <c r="B2340" t="s">
        <v>114</v>
      </c>
      <c r="C2340" t="s">
        <v>196</v>
      </c>
      <c r="D2340">
        <v>407772</v>
      </c>
      <c r="E2340">
        <v>407042.4</v>
      </c>
      <c r="F2340">
        <v>398257.8</v>
      </c>
      <c r="I2340">
        <v>109997.42</v>
      </c>
      <c r="J2340">
        <v>173022.99</v>
      </c>
      <c r="K2340">
        <v>206582.92</v>
      </c>
    </row>
    <row r="2341" spans="1:12" x14ac:dyDescent="0.2">
      <c r="A2341" s="60" t="s">
        <v>82</v>
      </c>
      <c r="B2341" t="s">
        <v>114</v>
      </c>
      <c r="C2341" t="s">
        <v>197</v>
      </c>
      <c r="D2341">
        <v>361747</v>
      </c>
      <c r="E2341">
        <v>360545.62</v>
      </c>
      <c r="I2341">
        <v>109010.29</v>
      </c>
      <c r="J2341">
        <v>157673.41</v>
      </c>
    </row>
    <row r="2342" spans="1:12" x14ac:dyDescent="0.2">
      <c r="A2342" s="60" t="s">
        <v>82</v>
      </c>
      <c r="B2342" t="s">
        <v>114</v>
      </c>
      <c r="C2342" t="s">
        <v>198</v>
      </c>
      <c r="D2342">
        <v>313595.21000000002</v>
      </c>
      <c r="I2342">
        <v>83503.679999999993</v>
      </c>
    </row>
    <row r="2343" spans="1:12" x14ac:dyDescent="0.2">
      <c r="A2343" s="60" t="s">
        <v>82</v>
      </c>
      <c r="B2343" t="s">
        <v>111</v>
      </c>
      <c r="C2343" t="s">
        <v>195</v>
      </c>
      <c r="D2343">
        <v>442278.94</v>
      </c>
      <c r="E2343">
        <v>439203.31</v>
      </c>
      <c r="F2343">
        <v>437923.31</v>
      </c>
      <c r="G2343">
        <v>434968.31</v>
      </c>
      <c r="I2343">
        <v>429494.62</v>
      </c>
      <c r="J2343">
        <v>434225.41</v>
      </c>
      <c r="K2343">
        <v>434452.91</v>
      </c>
      <c r="L2343">
        <v>431597.91</v>
      </c>
    </row>
    <row r="2344" spans="1:12" x14ac:dyDescent="0.2">
      <c r="A2344" s="60" t="s">
        <v>82</v>
      </c>
      <c r="B2344" t="s">
        <v>111</v>
      </c>
      <c r="C2344" t="s">
        <v>196</v>
      </c>
      <c r="D2344">
        <v>449961.42</v>
      </c>
      <c r="E2344">
        <v>449086.92</v>
      </c>
      <c r="F2344">
        <v>445191.92</v>
      </c>
      <c r="I2344">
        <v>433939.12</v>
      </c>
      <c r="J2344">
        <v>447397.22</v>
      </c>
      <c r="K2344">
        <v>443539.33</v>
      </c>
    </row>
    <row r="2345" spans="1:12" x14ac:dyDescent="0.2">
      <c r="A2345" s="60" t="s">
        <v>82</v>
      </c>
      <c r="B2345" t="s">
        <v>111</v>
      </c>
      <c r="C2345" t="s">
        <v>197</v>
      </c>
      <c r="D2345">
        <v>503430.11</v>
      </c>
      <c r="E2345">
        <v>502680.11</v>
      </c>
      <c r="I2345">
        <v>490083.9</v>
      </c>
      <c r="J2345">
        <v>500330.08</v>
      </c>
    </row>
    <row r="2346" spans="1:12" x14ac:dyDescent="0.2">
      <c r="A2346" s="60" t="s">
        <v>82</v>
      </c>
      <c r="B2346" t="s">
        <v>111</v>
      </c>
      <c r="C2346" t="s">
        <v>198</v>
      </c>
      <c r="D2346">
        <v>472083.7</v>
      </c>
      <c r="I2346">
        <v>465563.37</v>
      </c>
    </row>
    <row r="2347" spans="1:12" x14ac:dyDescent="0.2">
      <c r="A2347" s="60" t="s">
        <v>82</v>
      </c>
      <c r="B2347" t="s">
        <v>112</v>
      </c>
      <c r="C2347" t="s">
        <v>195</v>
      </c>
      <c r="D2347">
        <v>294357.64</v>
      </c>
      <c r="E2347">
        <v>293852.64</v>
      </c>
      <c r="F2347">
        <v>293852.64</v>
      </c>
      <c r="G2347">
        <v>293722.64</v>
      </c>
      <c r="I2347">
        <v>285222.64</v>
      </c>
      <c r="J2347">
        <v>293852.64</v>
      </c>
      <c r="K2347">
        <v>293852.64</v>
      </c>
      <c r="L2347">
        <v>293722.64</v>
      </c>
    </row>
    <row r="2348" spans="1:12" x14ac:dyDescent="0.2">
      <c r="A2348" s="60" t="s">
        <v>82</v>
      </c>
      <c r="B2348" t="s">
        <v>112</v>
      </c>
      <c r="C2348" t="s">
        <v>196</v>
      </c>
      <c r="D2348">
        <v>333954.26</v>
      </c>
      <c r="E2348">
        <v>333066.33</v>
      </c>
      <c r="F2348">
        <v>333066.33</v>
      </c>
      <c r="I2348">
        <v>326500.2</v>
      </c>
      <c r="J2348">
        <v>333066.33</v>
      </c>
      <c r="K2348">
        <v>333066.33</v>
      </c>
    </row>
    <row r="2349" spans="1:12" x14ac:dyDescent="0.2">
      <c r="A2349" s="60" t="s">
        <v>82</v>
      </c>
      <c r="B2349" t="s">
        <v>112</v>
      </c>
      <c r="C2349" t="s">
        <v>197</v>
      </c>
      <c r="D2349">
        <v>349654.87</v>
      </c>
      <c r="E2349">
        <v>348600.87</v>
      </c>
      <c r="I2349">
        <v>344379.85</v>
      </c>
      <c r="J2349">
        <v>348790.87</v>
      </c>
    </row>
    <row r="2350" spans="1:12" x14ac:dyDescent="0.2">
      <c r="A2350" s="60" t="s">
        <v>82</v>
      </c>
      <c r="B2350" t="s">
        <v>112</v>
      </c>
      <c r="C2350" t="s">
        <v>198</v>
      </c>
      <c r="D2350">
        <v>306177.36</v>
      </c>
      <c r="I2350">
        <v>301627.36</v>
      </c>
    </row>
    <row r="2351" spans="1:12" x14ac:dyDescent="0.2">
      <c r="A2351" s="60" t="s">
        <v>82</v>
      </c>
      <c r="B2351" t="s">
        <v>115</v>
      </c>
      <c r="C2351" t="s">
        <v>195</v>
      </c>
      <c r="D2351">
        <v>1104297.75</v>
      </c>
      <c r="E2351">
        <v>1042610.35</v>
      </c>
      <c r="F2351">
        <v>1035440.85</v>
      </c>
      <c r="G2351">
        <v>1032770.85</v>
      </c>
      <c r="I2351">
        <v>594056.04</v>
      </c>
      <c r="J2351">
        <v>897573.48</v>
      </c>
      <c r="K2351">
        <v>925393.66</v>
      </c>
      <c r="L2351">
        <v>934341.98</v>
      </c>
    </row>
    <row r="2352" spans="1:12" x14ac:dyDescent="0.2">
      <c r="A2352" s="60" t="s">
        <v>82</v>
      </c>
      <c r="B2352" t="s">
        <v>115</v>
      </c>
      <c r="C2352" t="s">
        <v>196</v>
      </c>
      <c r="D2352">
        <v>1437284.4</v>
      </c>
      <c r="E2352">
        <v>1346266.9</v>
      </c>
      <c r="F2352">
        <v>1337650.3799999999</v>
      </c>
      <c r="I2352">
        <v>812329.77</v>
      </c>
      <c r="J2352">
        <v>1176371.28</v>
      </c>
      <c r="K2352">
        <v>1207251.5900000001</v>
      </c>
    </row>
    <row r="2353" spans="1:12" x14ac:dyDescent="0.2">
      <c r="A2353" s="60" t="s">
        <v>82</v>
      </c>
      <c r="B2353" t="s">
        <v>115</v>
      </c>
      <c r="C2353" t="s">
        <v>197</v>
      </c>
      <c r="D2353">
        <v>1364227.15</v>
      </c>
      <c r="E2353">
        <v>1281002.98</v>
      </c>
      <c r="I2353">
        <v>737622.74</v>
      </c>
      <c r="J2353">
        <v>1067508.81</v>
      </c>
    </row>
    <row r="2354" spans="1:12" x14ac:dyDescent="0.2">
      <c r="A2354" s="60" t="s">
        <v>82</v>
      </c>
      <c r="B2354" t="s">
        <v>115</v>
      </c>
      <c r="C2354" t="s">
        <v>198</v>
      </c>
      <c r="D2354">
        <v>1161834.55</v>
      </c>
      <c r="I2354">
        <v>610514.73</v>
      </c>
    </row>
    <row r="2355" spans="1:12" x14ac:dyDescent="0.2">
      <c r="A2355" s="60" t="s">
        <v>82</v>
      </c>
      <c r="B2355" t="s">
        <v>113</v>
      </c>
      <c r="C2355" t="s">
        <v>195</v>
      </c>
      <c r="D2355">
        <v>87577</v>
      </c>
      <c r="E2355">
        <v>87177</v>
      </c>
      <c r="F2355">
        <v>87177</v>
      </c>
      <c r="G2355">
        <v>87113</v>
      </c>
      <c r="I2355">
        <v>83894</v>
      </c>
      <c r="J2355">
        <v>86599</v>
      </c>
      <c r="K2355">
        <v>86599</v>
      </c>
      <c r="L2355">
        <v>86944</v>
      </c>
    </row>
    <row r="2356" spans="1:12" x14ac:dyDescent="0.2">
      <c r="A2356" s="60" t="s">
        <v>82</v>
      </c>
      <c r="B2356" t="s">
        <v>113</v>
      </c>
      <c r="C2356" t="s">
        <v>196</v>
      </c>
      <c r="D2356">
        <v>123379.89</v>
      </c>
      <c r="E2356">
        <v>123146.89</v>
      </c>
      <c r="F2356">
        <v>123146.86</v>
      </c>
      <c r="I2356">
        <v>119898.89</v>
      </c>
      <c r="J2356">
        <v>122511.89</v>
      </c>
      <c r="K2356">
        <v>122511.89</v>
      </c>
    </row>
    <row r="2357" spans="1:12" x14ac:dyDescent="0.2">
      <c r="A2357" s="60" t="s">
        <v>82</v>
      </c>
      <c r="B2357" t="s">
        <v>113</v>
      </c>
      <c r="C2357" t="s">
        <v>197</v>
      </c>
      <c r="D2357">
        <v>101652</v>
      </c>
      <c r="E2357">
        <v>101652</v>
      </c>
      <c r="I2357">
        <v>100634</v>
      </c>
      <c r="J2357">
        <v>101652</v>
      </c>
    </row>
    <row r="2358" spans="1:12" x14ac:dyDescent="0.2">
      <c r="A2358" s="60" t="s">
        <v>82</v>
      </c>
      <c r="B2358" t="s">
        <v>113</v>
      </c>
      <c r="C2358" t="s">
        <v>198</v>
      </c>
      <c r="D2358">
        <v>86216.44</v>
      </c>
      <c r="I2358">
        <v>81897.440000000002</v>
      </c>
    </row>
    <row r="2359" spans="1:12" x14ac:dyDescent="0.2">
      <c r="A2359" s="60" t="s">
        <v>82</v>
      </c>
      <c r="B2359" t="s">
        <v>72</v>
      </c>
      <c r="C2359" t="s">
        <v>195</v>
      </c>
      <c r="D2359">
        <v>117358.34</v>
      </c>
      <c r="E2359">
        <v>116540.34</v>
      </c>
      <c r="F2359">
        <v>112550.34</v>
      </c>
      <c r="G2359">
        <v>112550.34</v>
      </c>
      <c r="I2359">
        <v>112157.95</v>
      </c>
      <c r="J2359">
        <v>112237.89</v>
      </c>
      <c r="K2359">
        <v>112279.32</v>
      </c>
      <c r="L2359">
        <v>112279.32</v>
      </c>
    </row>
    <row r="2360" spans="1:12" x14ac:dyDescent="0.2">
      <c r="A2360" s="60" t="s">
        <v>82</v>
      </c>
      <c r="B2360" t="s">
        <v>72</v>
      </c>
      <c r="C2360" t="s">
        <v>196</v>
      </c>
      <c r="D2360">
        <v>149231.74</v>
      </c>
      <c r="E2360">
        <v>144293.74</v>
      </c>
      <c r="F2360">
        <v>144293.74</v>
      </c>
      <c r="I2360">
        <v>142750.07999999999</v>
      </c>
      <c r="J2360">
        <v>144004.07999999999</v>
      </c>
      <c r="K2360">
        <v>144004.07999999999</v>
      </c>
    </row>
    <row r="2361" spans="1:12" x14ac:dyDescent="0.2">
      <c r="A2361" s="60" t="s">
        <v>82</v>
      </c>
      <c r="B2361" t="s">
        <v>72</v>
      </c>
      <c r="C2361" t="s">
        <v>197</v>
      </c>
      <c r="D2361">
        <v>139798.75</v>
      </c>
      <c r="E2361">
        <v>139390.75</v>
      </c>
      <c r="I2361">
        <v>136735.64000000001</v>
      </c>
      <c r="J2361">
        <v>137196.88</v>
      </c>
    </row>
    <row r="2362" spans="1:12" x14ac:dyDescent="0.2">
      <c r="A2362" s="60" t="s">
        <v>82</v>
      </c>
      <c r="B2362" t="s">
        <v>72</v>
      </c>
      <c r="C2362" t="s">
        <v>198</v>
      </c>
      <c r="D2362">
        <v>120456.31</v>
      </c>
      <c r="I2362">
        <v>115337.81</v>
      </c>
    </row>
    <row r="2363" spans="1:12" x14ac:dyDescent="0.2">
      <c r="A2363" t="s">
        <v>62</v>
      </c>
      <c r="B2363" t="s">
        <v>109</v>
      </c>
      <c r="C2363" t="s">
        <v>195</v>
      </c>
      <c r="D2363">
        <v>224993.83</v>
      </c>
      <c r="E2363">
        <v>224693.83</v>
      </c>
      <c r="F2363">
        <v>223741.05</v>
      </c>
      <c r="G2363">
        <v>222199.86</v>
      </c>
      <c r="I2363">
        <v>10466.43</v>
      </c>
      <c r="J2363">
        <v>16522.59</v>
      </c>
      <c r="K2363">
        <v>19004.39</v>
      </c>
      <c r="L2363">
        <v>22414.05</v>
      </c>
    </row>
    <row r="2364" spans="1:12" x14ac:dyDescent="0.2">
      <c r="A2364" t="s">
        <v>62</v>
      </c>
      <c r="B2364" t="s">
        <v>109</v>
      </c>
      <c r="C2364" t="s">
        <v>196</v>
      </c>
      <c r="D2364">
        <v>267164.43</v>
      </c>
      <c r="E2364">
        <v>267164.43</v>
      </c>
      <c r="F2364">
        <v>266964.43</v>
      </c>
      <c r="I2364">
        <v>17939.59</v>
      </c>
      <c r="J2364">
        <v>27283.51</v>
      </c>
      <c r="K2364">
        <v>31973.59</v>
      </c>
    </row>
    <row r="2365" spans="1:12" x14ac:dyDescent="0.2">
      <c r="A2365" t="s">
        <v>62</v>
      </c>
      <c r="B2365" t="s">
        <v>109</v>
      </c>
      <c r="C2365" t="s">
        <v>197</v>
      </c>
      <c r="D2365">
        <v>317375.51</v>
      </c>
      <c r="E2365">
        <v>316525.51</v>
      </c>
      <c r="I2365">
        <v>12262.57</v>
      </c>
      <c r="J2365">
        <v>20191.900000000001</v>
      </c>
    </row>
    <row r="2366" spans="1:12" x14ac:dyDescent="0.2">
      <c r="A2366" t="s">
        <v>62</v>
      </c>
      <c r="B2366" t="s">
        <v>109</v>
      </c>
      <c r="C2366" t="s">
        <v>198</v>
      </c>
      <c r="D2366">
        <v>435487.62</v>
      </c>
      <c r="I2366">
        <v>10169.66</v>
      </c>
    </row>
    <row r="2367" spans="1:12" x14ac:dyDescent="0.2">
      <c r="A2367" t="s">
        <v>62</v>
      </c>
      <c r="B2367" t="s">
        <v>145</v>
      </c>
      <c r="C2367" t="s">
        <v>195</v>
      </c>
      <c r="D2367">
        <v>0</v>
      </c>
      <c r="E2367">
        <v>0</v>
      </c>
      <c r="F2367">
        <v>0</v>
      </c>
      <c r="G2367">
        <v>0</v>
      </c>
      <c r="I2367">
        <v>0</v>
      </c>
      <c r="J2367">
        <v>0</v>
      </c>
      <c r="K2367">
        <v>0</v>
      </c>
      <c r="L2367">
        <v>0</v>
      </c>
    </row>
    <row r="2368" spans="1:12" x14ac:dyDescent="0.2">
      <c r="A2368" t="s">
        <v>62</v>
      </c>
      <c r="B2368" t="s">
        <v>145</v>
      </c>
      <c r="C2368" t="s">
        <v>196</v>
      </c>
      <c r="D2368">
        <v>0</v>
      </c>
      <c r="E2368">
        <v>0</v>
      </c>
      <c r="F2368">
        <v>0</v>
      </c>
      <c r="I2368">
        <v>0</v>
      </c>
      <c r="J2368">
        <v>0</v>
      </c>
      <c r="K2368">
        <v>0</v>
      </c>
    </row>
    <row r="2369" spans="1:12" x14ac:dyDescent="0.2">
      <c r="A2369" t="s">
        <v>62</v>
      </c>
      <c r="B2369" t="s">
        <v>145</v>
      </c>
      <c r="C2369" t="s">
        <v>197</v>
      </c>
      <c r="D2369">
        <v>10288</v>
      </c>
      <c r="E2369">
        <v>10288</v>
      </c>
      <c r="I2369">
        <v>0</v>
      </c>
      <c r="J2369">
        <v>0</v>
      </c>
    </row>
    <row r="2370" spans="1:12" x14ac:dyDescent="0.2">
      <c r="A2370" t="s">
        <v>62</v>
      </c>
      <c r="B2370" t="s">
        <v>145</v>
      </c>
      <c r="C2370" t="s">
        <v>198</v>
      </c>
      <c r="D2370">
        <v>0</v>
      </c>
      <c r="I2370">
        <v>0</v>
      </c>
    </row>
    <row r="2371" spans="1:12" x14ac:dyDescent="0.2">
      <c r="A2371" t="s">
        <v>62</v>
      </c>
      <c r="B2371" t="s">
        <v>110</v>
      </c>
      <c r="C2371" t="s">
        <v>195</v>
      </c>
      <c r="D2371">
        <v>117061.84</v>
      </c>
      <c r="E2371">
        <v>117061.84</v>
      </c>
      <c r="F2371">
        <v>117061.84</v>
      </c>
      <c r="G2371">
        <v>117061.84</v>
      </c>
      <c r="I2371">
        <v>31129.1</v>
      </c>
      <c r="J2371">
        <v>50421.1</v>
      </c>
      <c r="K2371">
        <v>56805.1</v>
      </c>
      <c r="L2371">
        <v>59929.599999999999</v>
      </c>
    </row>
    <row r="2372" spans="1:12" x14ac:dyDescent="0.2">
      <c r="A2372" t="s">
        <v>62</v>
      </c>
      <c r="B2372" t="s">
        <v>110</v>
      </c>
      <c r="C2372" t="s">
        <v>196</v>
      </c>
      <c r="D2372">
        <v>146648.98000000001</v>
      </c>
      <c r="E2372">
        <v>146348.98000000001</v>
      </c>
      <c r="F2372">
        <v>145813.98000000001</v>
      </c>
      <c r="I2372">
        <v>36071.480000000003</v>
      </c>
      <c r="J2372">
        <v>52958.48</v>
      </c>
      <c r="K2372">
        <v>66973.48</v>
      </c>
    </row>
    <row r="2373" spans="1:12" x14ac:dyDescent="0.2">
      <c r="A2373" t="s">
        <v>62</v>
      </c>
      <c r="B2373" t="s">
        <v>110</v>
      </c>
      <c r="C2373" t="s">
        <v>197</v>
      </c>
      <c r="D2373">
        <v>178678.94</v>
      </c>
      <c r="E2373">
        <v>178248.94</v>
      </c>
      <c r="I2373">
        <v>34474.5</v>
      </c>
      <c r="J2373">
        <v>52618.35</v>
      </c>
    </row>
    <row r="2374" spans="1:12" x14ac:dyDescent="0.2">
      <c r="A2374" t="s">
        <v>62</v>
      </c>
      <c r="B2374" t="s">
        <v>110</v>
      </c>
      <c r="C2374" t="s">
        <v>198</v>
      </c>
      <c r="D2374">
        <v>136097.89000000001</v>
      </c>
      <c r="I2374">
        <v>26286.42</v>
      </c>
    </row>
    <row r="2375" spans="1:12" x14ac:dyDescent="0.2">
      <c r="A2375" t="s">
        <v>62</v>
      </c>
      <c r="B2375" t="s">
        <v>116</v>
      </c>
      <c r="C2375" t="s">
        <v>195</v>
      </c>
      <c r="D2375">
        <v>2080</v>
      </c>
      <c r="E2375">
        <v>2080</v>
      </c>
      <c r="F2375">
        <v>2080</v>
      </c>
      <c r="G2375">
        <v>2080</v>
      </c>
      <c r="I2375">
        <v>422</v>
      </c>
      <c r="J2375">
        <v>1612</v>
      </c>
      <c r="K2375">
        <v>1930</v>
      </c>
      <c r="L2375">
        <v>1930</v>
      </c>
    </row>
    <row r="2376" spans="1:12" x14ac:dyDescent="0.2">
      <c r="A2376" t="s">
        <v>62</v>
      </c>
      <c r="B2376" t="s">
        <v>116</v>
      </c>
      <c r="C2376" t="s">
        <v>196</v>
      </c>
      <c r="D2376">
        <v>1550.5</v>
      </c>
      <c r="E2376">
        <v>1550.5</v>
      </c>
      <c r="F2376">
        <v>1550.5</v>
      </c>
      <c r="I2376">
        <v>588.5</v>
      </c>
      <c r="J2376">
        <v>1144.5</v>
      </c>
      <c r="K2376">
        <v>1144.5</v>
      </c>
    </row>
    <row r="2377" spans="1:12" x14ac:dyDescent="0.2">
      <c r="A2377" t="s">
        <v>62</v>
      </c>
      <c r="B2377" t="s">
        <v>116</v>
      </c>
      <c r="C2377" t="s">
        <v>197</v>
      </c>
      <c r="D2377">
        <v>2083.5</v>
      </c>
      <c r="E2377">
        <v>2083.5</v>
      </c>
      <c r="I2377">
        <v>568.5</v>
      </c>
      <c r="J2377">
        <v>848</v>
      </c>
    </row>
    <row r="2378" spans="1:12" x14ac:dyDescent="0.2">
      <c r="A2378" t="s">
        <v>62</v>
      </c>
      <c r="B2378" t="s">
        <v>116</v>
      </c>
      <c r="C2378" t="s">
        <v>198</v>
      </c>
      <c r="D2378">
        <v>4369</v>
      </c>
      <c r="I2378">
        <v>1061</v>
      </c>
    </row>
    <row r="2379" spans="1:12" x14ac:dyDescent="0.2">
      <c r="A2379" t="s">
        <v>62</v>
      </c>
      <c r="B2379" t="s">
        <v>114</v>
      </c>
      <c r="C2379" t="s">
        <v>195</v>
      </c>
      <c r="D2379">
        <v>146583.19</v>
      </c>
      <c r="E2379">
        <v>146483.19</v>
      </c>
      <c r="F2379">
        <v>146433.19</v>
      </c>
      <c r="G2379">
        <v>146433.19</v>
      </c>
      <c r="I2379">
        <v>45312.73</v>
      </c>
      <c r="J2379">
        <v>81830.69</v>
      </c>
      <c r="K2379">
        <v>93807.19</v>
      </c>
      <c r="L2379">
        <v>101338.67</v>
      </c>
    </row>
    <row r="2380" spans="1:12" x14ac:dyDescent="0.2">
      <c r="A2380" t="s">
        <v>62</v>
      </c>
      <c r="B2380" t="s">
        <v>114</v>
      </c>
      <c r="C2380" t="s">
        <v>196</v>
      </c>
      <c r="D2380">
        <v>152175.28</v>
      </c>
      <c r="E2380">
        <v>152125.28</v>
      </c>
      <c r="F2380">
        <v>151644.28</v>
      </c>
      <c r="I2380">
        <v>60101.94</v>
      </c>
      <c r="J2380">
        <v>79170.94</v>
      </c>
      <c r="K2380">
        <v>88648.94</v>
      </c>
    </row>
    <row r="2381" spans="1:12" x14ac:dyDescent="0.2">
      <c r="A2381" t="s">
        <v>62</v>
      </c>
      <c r="B2381" t="s">
        <v>114</v>
      </c>
      <c r="C2381" t="s">
        <v>197</v>
      </c>
      <c r="D2381">
        <v>141852.51999999999</v>
      </c>
      <c r="E2381">
        <v>141647.51999999999</v>
      </c>
      <c r="I2381">
        <v>43969.599999999999</v>
      </c>
      <c r="J2381">
        <v>66131.240000000005</v>
      </c>
    </row>
    <row r="2382" spans="1:12" x14ac:dyDescent="0.2">
      <c r="A2382" t="s">
        <v>62</v>
      </c>
      <c r="B2382" t="s">
        <v>114</v>
      </c>
      <c r="C2382" t="s">
        <v>198</v>
      </c>
      <c r="D2382">
        <v>144145.1</v>
      </c>
      <c r="I2382">
        <v>51549.69</v>
      </c>
    </row>
    <row r="2383" spans="1:12" x14ac:dyDescent="0.2">
      <c r="A2383" t="s">
        <v>62</v>
      </c>
      <c r="B2383" t="s">
        <v>111</v>
      </c>
      <c r="C2383" t="s">
        <v>195</v>
      </c>
      <c r="D2383">
        <v>60434.6</v>
      </c>
      <c r="E2383">
        <v>60153.599999999999</v>
      </c>
      <c r="F2383">
        <v>60153.599999999999</v>
      </c>
      <c r="G2383">
        <v>60153.599999999999</v>
      </c>
      <c r="I2383">
        <v>59543.6</v>
      </c>
      <c r="J2383">
        <v>60103.6</v>
      </c>
      <c r="K2383">
        <v>60103.6</v>
      </c>
      <c r="L2383">
        <v>60103.6</v>
      </c>
    </row>
    <row r="2384" spans="1:12" x14ac:dyDescent="0.2">
      <c r="A2384" t="s">
        <v>62</v>
      </c>
      <c r="B2384" t="s">
        <v>111</v>
      </c>
      <c r="C2384" t="s">
        <v>196</v>
      </c>
      <c r="D2384">
        <v>75322.740000000005</v>
      </c>
      <c r="E2384">
        <v>74479.740000000005</v>
      </c>
      <c r="F2384">
        <v>74479.740000000005</v>
      </c>
      <c r="I2384">
        <v>72420.740000000005</v>
      </c>
      <c r="J2384">
        <v>74034.740000000005</v>
      </c>
      <c r="K2384">
        <v>74429.740000000005</v>
      </c>
    </row>
    <row r="2385" spans="1:12" x14ac:dyDescent="0.2">
      <c r="A2385" t="s">
        <v>62</v>
      </c>
      <c r="B2385" t="s">
        <v>111</v>
      </c>
      <c r="C2385" t="s">
        <v>197</v>
      </c>
      <c r="D2385">
        <v>70598.52</v>
      </c>
      <c r="E2385">
        <v>70598.52</v>
      </c>
      <c r="I2385">
        <v>69008.52</v>
      </c>
      <c r="J2385">
        <v>69201</v>
      </c>
    </row>
    <row r="2386" spans="1:12" x14ac:dyDescent="0.2">
      <c r="A2386" t="s">
        <v>62</v>
      </c>
      <c r="B2386" t="s">
        <v>111</v>
      </c>
      <c r="C2386" t="s">
        <v>198</v>
      </c>
      <c r="D2386">
        <v>65256.5</v>
      </c>
      <c r="I2386">
        <v>63573.5</v>
      </c>
    </row>
    <row r="2387" spans="1:12" x14ac:dyDescent="0.2">
      <c r="A2387" t="s">
        <v>62</v>
      </c>
      <c r="B2387" t="s">
        <v>112</v>
      </c>
      <c r="C2387" t="s">
        <v>195</v>
      </c>
      <c r="D2387">
        <v>37803.53</v>
      </c>
      <c r="E2387">
        <v>37803.53</v>
      </c>
      <c r="F2387">
        <v>37803.53</v>
      </c>
      <c r="G2387">
        <v>37803.53</v>
      </c>
      <c r="I2387">
        <v>36998.53</v>
      </c>
      <c r="J2387">
        <v>37583.53</v>
      </c>
      <c r="K2387">
        <v>37668.53</v>
      </c>
      <c r="L2387">
        <v>37668.53</v>
      </c>
    </row>
    <row r="2388" spans="1:12" x14ac:dyDescent="0.2">
      <c r="A2388" t="s">
        <v>62</v>
      </c>
      <c r="B2388" t="s">
        <v>112</v>
      </c>
      <c r="C2388" t="s">
        <v>196</v>
      </c>
      <c r="D2388">
        <v>43956.69</v>
      </c>
      <c r="E2388">
        <v>43956.69</v>
      </c>
      <c r="F2388">
        <v>43956.69</v>
      </c>
      <c r="I2388">
        <v>42460.69</v>
      </c>
      <c r="J2388">
        <v>43871.69</v>
      </c>
      <c r="K2388">
        <v>43871.69</v>
      </c>
    </row>
    <row r="2389" spans="1:12" x14ac:dyDescent="0.2">
      <c r="A2389" t="s">
        <v>62</v>
      </c>
      <c r="B2389" t="s">
        <v>112</v>
      </c>
      <c r="C2389" t="s">
        <v>197</v>
      </c>
      <c r="D2389">
        <v>51079.53</v>
      </c>
      <c r="E2389">
        <v>51079.53</v>
      </c>
      <c r="I2389">
        <v>49975.53</v>
      </c>
      <c r="J2389">
        <v>51076.53</v>
      </c>
    </row>
    <row r="2390" spans="1:12" x14ac:dyDescent="0.2">
      <c r="A2390" t="s">
        <v>62</v>
      </c>
      <c r="B2390" t="s">
        <v>112</v>
      </c>
      <c r="C2390" t="s">
        <v>198</v>
      </c>
      <c r="D2390">
        <v>43992.45</v>
      </c>
      <c r="I2390">
        <v>43532.45</v>
      </c>
    </row>
    <row r="2391" spans="1:12" x14ac:dyDescent="0.2">
      <c r="A2391" t="s">
        <v>62</v>
      </c>
      <c r="B2391" t="s">
        <v>115</v>
      </c>
      <c r="C2391" t="s">
        <v>195</v>
      </c>
      <c r="D2391">
        <v>530147.5</v>
      </c>
      <c r="E2391">
        <v>509764.75</v>
      </c>
      <c r="F2391">
        <v>508616.75</v>
      </c>
      <c r="G2391">
        <v>508513.75</v>
      </c>
      <c r="I2391">
        <v>252802</v>
      </c>
      <c r="J2391">
        <v>437936.25</v>
      </c>
      <c r="K2391">
        <v>463174.25</v>
      </c>
      <c r="L2391">
        <v>470339.25</v>
      </c>
    </row>
    <row r="2392" spans="1:12" x14ac:dyDescent="0.2">
      <c r="A2392" t="s">
        <v>62</v>
      </c>
      <c r="B2392" t="s">
        <v>115</v>
      </c>
      <c r="C2392" t="s">
        <v>196</v>
      </c>
      <c r="D2392">
        <v>581100</v>
      </c>
      <c r="E2392">
        <v>567094.5</v>
      </c>
      <c r="F2392">
        <v>565421.5</v>
      </c>
      <c r="I2392">
        <v>287539.5</v>
      </c>
      <c r="J2392">
        <v>488614.5</v>
      </c>
      <c r="K2392">
        <v>511298.5</v>
      </c>
    </row>
    <row r="2393" spans="1:12" x14ac:dyDescent="0.2">
      <c r="A2393" t="s">
        <v>62</v>
      </c>
      <c r="B2393" t="s">
        <v>115</v>
      </c>
      <c r="C2393" t="s">
        <v>197</v>
      </c>
      <c r="D2393">
        <v>620109.57999999996</v>
      </c>
      <c r="E2393">
        <v>600107.1</v>
      </c>
      <c r="I2393">
        <v>302664.59999999998</v>
      </c>
      <c r="J2393">
        <v>502731.6</v>
      </c>
    </row>
    <row r="2394" spans="1:12" x14ac:dyDescent="0.2">
      <c r="A2394" t="s">
        <v>62</v>
      </c>
      <c r="B2394" t="s">
        <v>115</v>
      </c>
      <c r="C2394" t="s">
        <v>198</v>
      </c>
      <c r="D2394">
        <v>615015.57999999996</v>
      </c>
      <c r="I2394">
        <v>297648.59000000003</v>
      </c>
    </row>
    <row r="2395" spans="1:12" x14ac:dyDescent="0.2">
      <c r="A2395" t="s">
        <v>62</v>
      </c>
      <c r="B2395" t="s">
        <v>113</v>
      </c>
      <c r="C2395" t="s">
        <v>195</v>
      </c>
      <c r="D2395">
        <v>52119</v>
      </c>
      <c r="E2395">
        <v>52119</v>
      </c>
      <c r="F2395">
        <v>52119</v>
      </c>
      <c r="G2395">
        <v>52119</v>
      </c>
      <c r="I2395">
        <v>50749</v>
      </c>
      <c r="J2395">
        <v>52069</v>
      </c>
      <c r="K2395">
        <v>52069</v>
      </c>
      <c r="L2395">
        <v>52069</v>
      </c>
    </row>
    <row r="2396" spans="1:12" x14ac:dyDescent="0.2">
      <c r="A2396" t="s">
        <v>62</v>
      </c>
      <c r="B2396" t="s">
        <v>113</v>
      </c>
      <c r="C2396" t="s">
        <v>196</v>
      </c>
      <c r="D2396">
        <v>51995</v>
      </c>
      <c r="E2396">
        <v>51995</v>
      </c>
      <c r="F2396">
        <v>51995</v>
      </c>
      <c r="I2396">
        <v>51571</v>
      </c>
      <c r="J2396">
        <v>51989</v>
      </c>
      <c r="K2396">
        <v>51989</v>
      </c>
    </row>
    <row r="2397" spans="1:12" x14ac:dyDescent="0.2">
      <c r="A2397" t="s">
        <v>62</v>
      </c>
      <c r="B2397" t="s">
        <v>113</v>
      </c>
      <c r="C2397" t="s">
        <v>197</v>
      </c>
      <c r="D2397">
        <v>51097.62</v>
      </c>
      <c r="E2397">
        <v>51097.62</v>
      </c>
      <c r="I2397">
        <v>50240.62</v>
      </c>
      <c r="J2397">
        <v>51097.62</v>
      </c>
    </row>
    <row r="2398" spans="1:12" x14ac:dyDescent="0.2">
      <c r="A2398" t="s">
        <v>62</v>
      </c>
      <c r="B2398" t="s">
        <v>113</v>
      </c>
      <c r="C2398" t="s">
        <v>198</v>
      </c>
      <c r="D2398">
        <v>52283</v>
      </c>
      <c r="I2398">
        <v>50387</v>
      </c>
    </row>
    <row r="2399" spans="1:12" x14ac:dyDescent="0.2">
      <c r="A2399" t="s">
        <v>62</v>
      </c>
      <c r="B2399" t="s">
        <v>72</v>
      </c>
      <c r="C2399" t="s">
        <v>195</v>
      </c>
      <c r="D2399">
        <v>27714.35</v>
      </c>
      <c r="E2399">
        <v>27714.35</v>
      </c>
      <c r="F2399">
        <v>27714.35</v>
      </c>
      <c r="G2399">
        <v>27714.35</v>
      </c>
      <c r="I2399">
        <v>26759.85</v>
      </c>
      <c r="J2399">
        <v>26862.35</v>
      </c>
      <c r="K2399">
        <v>27072.85</v>
      </c>
      <c r="L2399">
        <v>27083.35</v>
      </c>
    </row>
    <row r="2400" spans="1:12" x14ac:dyDescent="0.2">
      <c r="A2400" t="s">
        <v>62</v>
      </c>
      <c r="B2400" t="s">
        <v>72</v>
      </c>
      <c r="C2400" t="s">
        <v>196</v>
      </c>
      <c r="D2400">
        <v>31185.17</v>
      </c>
      <c r="E2400">
        <v>30397.17</v>
      </c>
      <c r="F2400">
        <v>30397.17</v>
      </c>
      <c r="I2400">
        <v>28340.720000000001</v>
      </c>
      <c r="J2400">
        <v>28804.67</v>
      </c>
      <c r="K2400">
        <v>29099.67</v>
      </c>
    </row>
    <row r="2401" spans="1:12" x14ac:dyDescent="0.2">
      <c r="A2401" t="s">
        <v>62</v>
      </c>
      <c r="B2401" t="s">
        <v>72</v>
      </c>
      <c r="C2401" t="s">
        <v>197</v>
      </c>
      <c r="D2401">
        <v>36833.9</v>
      </c>
      <c r="E2401">
        <v>36833.9</v>
      </c>
      <c r="I2401">
        <v>34909.449999999997</v>
      </c>
      <c r="J2401">
        <v>36012.9</v>
      </c>
    </row>
    <row r="2402" spans="1:12" x14ac:dyDescent="0.2">
      <c r="A2402" t="s">
        <v>62</v>
      </c>
      <c r="B2402" t="s">
        <v>72</v>
      </c>
      <c r="C2402" t="s">
        <v>198</v>
      </c>
      <c r="D2402">
        <v>28364.14</v>
      </c>
      <c r="I2402">
        <v>24398.14</v>
      </c>
    </row>
    <row r="2403" spans="1:12" x14ac:dyDescent="0.2">
      <c r="A2403" t="s">
        <v>63</v>
      </c>
      <c r="B2403" t="s">
        <v>109</v>
      </c>
      <c r="C2403" t="s">
        <v>195</v>
      </c>
      <c r="D2403">
        <v>169114.5</v>
      </c>
      <c r="E2403">
        <v>169114.5</v>
      </c>
      <c r="F2403">
        <v>168164.5</v>
      </c>
      <c r="G2403">
        <v>165162.5</v>
      </c>
      <c r="I2403">
        <v>3200.45</v>
      </c>
      <c r="J2403">
        <v>9386.57</v>
      </c>
      <c r="K2403">
        <v>16365</v>
      </c>
      <c r="L2403">
        <v>23008.85</v>
      </c>
    </row>
    <row r="2404" spans="1:12" x14ac:dyDescent="0.2">
      <c r="A2404" t="s">
        <v>63</v>
      </c>
      <c r="B2404" t="s">
        <v>109</v>
      </c>
      <c r="C2404" t="s">
        <v>196</v>
      </c>
      <c r="D2404">
        <v>152744.26999999999</v>
      </c>
      <c r="E2404">
        <v>152744.26999999999</v>
      </c>
      <c r="F2404">
        <v>152494.26999999999</v>
      </c>
      <c r="I2404">
        <v>4118.67</v>
      </c>
      <c r="J2404">
        <v>8106.97</v>
      </c>
      <c r="K2404">
        <v>11143.88</v>
      </c>
    </row>
    <row r="2405" spans="1:12" x14ac:dyDescent="0.2">
      <c r="A2405" t="s">
        <v>63</v>
      </c>
      <c r="B2405" t="s">
        <v>109</v>
      </c>
      <c r="C2405" t="s">
        <v>197</v>
      </c>
      <c r="D2405">
        <v>165846.73000000001</v>
      </c>
      <c r="E2405">
        <v>165846.73000000001</v>
      </c>
      <c r="I2405">
        <v>2296.63</v>
      </c>
      <c r="J2405">
        <v>6504.79</v>
      </c>
    </row>
    <row r="2406" spans="1:12" x14ac:dyDescent="0.2">
      <c r="A2406" t="s">
        <v>63</v>
      </c>
      <c r="B2406" t="s">
        <v>109</v>
      </c>
      <c r="C2406" t="s">
        <v>198</v>
      </c>
      <c r="D2406">
        <v>432919.27</v>
      </c>
      <c r="I2406">
        <v>3177.48</v>
      </c>
    </row>
    <row r="2407" spans="1:12" x14ac:dyDescent="0.2">
      <c r="A2407" t="s">
        <v>63</v>
      </c>
      <c r="B2407" t="s">
        <v>145</v>
      </c>
      <c r="C2407" t="s">
        <v>195</v>
      </c>
      <c r="D2407">
        <v>169114.5</v>
      </c>
      <c r="I2407">
        <v>3200.45</v>
      </c>
    </row>
    <row r="2408" spans="1:12" x14ac:dyDescent="0.2">
      <c r="A2408" t="s">
        <v>63</v>
      </c>
      <c r="B2408" t="s">
        <v>145</v>
      </c>
      <c r="C2408" t="s">
        <v>196</v>
      </c>
    </row>
    <row r="2409" spans="1:12" x14ac:dyDescent="0.2">
      <c r="A2409" t="s">
        <v>63</v>
      </c>
      <c r="B2409" t="s">
        <v>145</v>
      </c>
      <c r="C2409" t="s">
        <v>197</v>
      </c>
    </row>
    <row r="2410" spans="1:12" x14ac:dyDescent="0.2">
      <c r="A2410" t="s">
        <v>63</v>
      </c>
      <c r="B2410" t="s">
        <v>145</v>
      </c>
      <c r="C2410" t="s">
        <v>198</v>
      </c>
    </row>
    <row r="2411" spans="1:12" x14ac:dyDescent="0.2">
      <c r="A2411" t="s">
        <v>63</v>
      </c>
      <c r="B2411" t="s">
        <v>110</v>
      </c>
      <c r="C2411" t="s">
        <v>195</v>
      </c>
      <c r="D2411">
        <v>25571.26</v>
      </c>
      <c r="E2411">
        <v>25571.26</v>
      </c>
      <c r="F2411">
        <v>25571.26</v>
      </c>
      <c r="G2411">
        <v>25571.26</v>
      </c>
      <c r="I2411">
        <v>7483.26</v>
      </c>
      <c r="J2411">
        <v>9818.26</v>
      </c>
      <c r="K2411">
        <v>13521.26</v>
      </c>
      <c r="L2411">
        <v>14140.43</v>
      </c>
    </row>
    <row r="2412" spans="1:12" x14ac:dyDescent="0.2">
      <c r="A2412" t="s">
        <v>63</v>
      </c>
      <c r="B2412" t="s">
        <v>110</v>
      </c>
      <c r="C2412" t="s">
        <v>196</v>
      </c>
      <c r="D2412">
        <v>35227</v>
      </c>
      <c r="E2412">
        <v>35227</v>
      </c>
      <c r="F2412">
        <v>35227</v>
      </c>
      <c r="I2412">
        <v>6275.5</v>
      </c>
      <c r="J2412">
        <v>10003.89</v>
      </c>
      <c r="K2412">
        <v>12800.86</v>
      </c>
    </row>
    <row r="2413" spans="1:12" x14ac:dyDescent="0.2">
      <c r="A2413" t="s">
        <v>63</v>
      </c>
      <c r="B2413" t="s">
        <v>110</v>
      </c>
      <c r="C2413" t="s">
        <v>197</v>
      </c>
      <c r="D2413">
        <v>47611.44</v>
      </c>
      <c r="E2413">
        <v>47548.94</v>
      </c>
      <c r="I2413">
        <v>8998.43</v>
      </c>
      <c r="J2413">
        <v>11404.51</v>
      </c>
    </row>
    <row r="2414" spans="1:12" x14ac:dyDescent="0.2">
      <c r="A2414" t="s">
        <v>63</v>
      </c>
      <c r="B2414" t="s">
        <v>110</v>
      </c>
      <c r="C2414" t="s">
        <v>198</v>
      </c>
      <c r="D2414">
        <v>40484.5</v>
      </c>
      <c r="I2414">
        <v>5822</v>
      </c>
    </row>
    <row r="2415" spans="1:12" x14ac:dyDescent="0.2">
      <c r="A2415" t="s">
        <v>63</v>
      </c>
      <c r="B2415" t="s">
        <v>116</v>
      </c>
      <c r="C2415" t="s">
        <v>195</v>
      </c>
      <c r="D2415">
        <v>3350</v>
      </c>
      <c r="E2415">
        <v>2090</v>
      </c>
      <c r="F2415">
        <v>2090</v>
      </c>
      <c r="G2415">
        <v>2090</v>
      </c>
      <c r="I2415">
        <v>238</v>
      </c>
      <c r="J2415">
        <v>1446</v>
      </c>
      <c r="K2415">
        <v>1446</v>
      </c>
      <c r="L2415">
        <v>1446</v>
      </c>
    </row>
    <row r="2416" spans="1:12" x14ac:dyDescent="0.2">
      <c r="A2416" t="s">
        <v>63</v>
      </c>
      <c r="B2416" t="s">
        <v>116</v>
      </c>
      <c r="C2416" t="s">
        <v>196</v>
      </c>
      <c r="D2416">
        <v>2762</v>
      </c>
      <c r="E2416">
        <v>2612</v>
      </c>
      <c r="F2416">
        <v>2612</v>
      </c>
      <c r="I2416">
        <v>268</v>
      </c>
      <c r="J2416">
        <v>832</v>
      </c>
      <c r="K2416">
        <v>832</v>
      </c>
    </row>
    <row r="2417" spans="1:12" x14ac:dyDescent="0.2">
      <c r="A2417" t="s">
        <v>63</v>
      </c>
      <c r="B2417" t="s">
        <v>116</v>
      </c>
      <c r="C2417" t="s">
        <v>197</v>
      </c>
      <c r="D2417">
        <v>2782</v>
      </c>
      <c r="E2417">
        <v>2782</v>
      </c>
      <c r="I2417">
        <v>0</v>
      </c>
      <c r="J2417">
        <v>0</v>
      </c>
    </row>
    <row r="2418" spans="1:12" x14ac:dyDescent="0.2">
      <c r="A2418" t="s">
        <v>63</v>
      </c>
      <c r="B2418" t="s">
        <v>116</v>
      </c>
      <c r="C2418" t="s">
        <v>198</v>
      </c>
      <c r="D2418">
        <v>4010</v>
      </c>
      <c r="I2418">
        <v>5822.08</v>
      </c>
    </row>
    <row r="2419" spans="1:12" x14ac:dyDescent="0.2">
      <c r="A2419" t="s">
        <v>63</v>
      </c>
      <c r="B2419" t="s">
        <v>114</v>
      </c>
      <c r="C2419" t="s">
        <v>195</v>
      </c>
      <c r="D2419">
        <v>49407</v>
      </c>
      <c r="E2419">
        <v>49212</v>
      </c>
      <c r="F2419">
        <v>49212</v>
      </c>
      <c r="G2419">
        <v>49212</v>
      </c>
      <c r="I2419">
        <v>14048</v>
      </c>
      <c r="J2419">
        <v>25758.5</v>
      </c>
      <c r="K2419">
        <v>35365.5</v>
      </c>
      <c r="L2419">
        <v>36171.5</v>
      </c>
    </row>
    <row r="2420" spans="1:12" x14ac:dyDescent="0.2">
      <c r="A2420" t="s">
        <v>63</v>
      </c>
      <c r="B2420" t="s">
        <v>114</v>
      </c>
      <c r="C2420" t="s">
        <v>196</v>
      </c>
      <c r="D2420">
        <v>64141</v>
      </c>
      <c r="E2420">
        <v>64141</v>
      </c>
      <c r="F2420">
        <v>64018</v>
      </c>
      <c r="I2420">
        <v>12488</v>
      </c>
      <c r="J2420">
        <v>28101</v>
      </c>
      <c r="K2420">
        <v>33567.67</v>
      </c>
    </row>
    <row r="2421" spans="1:12" x14ac:dyDescent="0.2">
      <c r="A2421" t="s">
        <v>63</v>
      </c>
      <c r="B2421" t="s">
        <v>114</v>
      </c>
      <c r="C2421" t="s">
        <v>197</v>
      </c>
      <c r="D2421">
        <v>74476</v>
      </c>
      <c r="E2421">
        <v>74476</v>
      </c>
      <c r="I2421">
        <v>16798.330000000002</v>
      </c>
      <c r="J2421">
        <v>26195</v>
      </c>
    </row>
    <row r="2422" spans="1:12" x14ac:dyDescent="0.2">
      <c r="A2422" t="s">
        <v>63</v>
      </c>
      <c r="B2422" t="s">
        <v>114</v>
      </c>
      <c r="C2422" t="s">
        <v>198</v>
      </c>
      <c r="D2422">
        <v>76215.5</v>
      </c>
      <c r="I2422">
        <v>10658.17</v>
      </c>
    </row>
    <row r="2423" spans="1:12" x14ac:dyDescent="0.2">
      <c r="A2423" t="s">
        <v>63</v>
      </c>
      <c r="B2423" t="s">
        <v>111</v>
      </c>
      <c r="C2423" t="s">
        <v>195</v>
      </c>
      <c r="D2423">
        <v>21548.5</v>
      </c>
      <c r="E2423">
        <v>21548.5</v>
      </c>
      <c r="F2423">
        <v>21548.5</v>
      </c>
      <c r="G2423">
        <v>21548.5</v>
      </c>
      <c r="I2423">
        <v>19548.5</v>
      </c>
      <c r="J2423">
        <v>19548.5</v>
      </c>
      <c r="K2423">
        <v>19548.5</v>
      </c>
      <c r="L2423">
        <v>19548.5</v>
      </c>
    </row>
    <row r="2424" spans="1:12" x14ac:dyDescent="0.2">
      <c r="A2424" t="s">
        <v>63</v>
      </c>
      <c r="B2424" t="s">
        <v>111</v>
      </c>
      <c r="C2424" t="s">
        <v>196</v>
      </c>
      <c r="D2424">
        <v>30697</v>
      </c>
      <c r="E2424">
        <v>30697</v>
      </c>
      <c r="F2424">
        <v>30697</v>
      </c>
      <c r="I2424">
        <v>28192</v>
      </c>
      <c r="J2424">
        <v>28592</v>
      </c>
      <c r="K2424">
        <v>28592</v>
      </c>
    </row>
    <row r="2425" spans="1:12" x14ac:dyDescent="0.2">
      <c r="A2425" t="s">
        <v>63</v>
      </c>
      <c r="B2425" t="s">
        <v>111</v>
      </c>
      <c r="C2425" t="s">
        <v>197</v>
      </c>
      <c r="D2425">
        <v>26907</v>
      </c>
      <c r="E2425">
        <v>26907</v>
      </c>
      <c r="I2425">
        <v>25307</v>
      </c>
      <c r="J2425">
        <v>25707</v>
      </c>
    </row>
    <row r="2426" spans="1:12" x14ac:dyDescent="0.2">
      <c r="A2426" t="s">
        <v>63</v>
      </c>
      <c r="B2426" t="s">
        <v>111</v>
      </c>
      <c r="C2426" t="s">
        <v>198</v>
      </c>
      <c r="D2426">
        <v>23830</v>
      </c>
      <c r="I2426">
        <v>22230</v>
      </c>
    </row>
    <row r="2427" spans="1:12" x14ac:dyDescent="0.2">
      <c r="A2427" t="s">
        <v>63</v>
      </c>
      <c r="B2427" t="s">
        <v>112</v>
      </c>
      <c r="C2427" t="s">
        <v>195</v>
      </c>
      <c r="D2427">
        <v>38685</v>
      </c>
      <c r="E2427">
        <v>38685</v>
      </c>
      <c r="F2427">
        <v>38685</v>
      </c>
      <c r="G2427">
        <v>38685</v>
      </c>
      <c r="I2427">
        <v>38385</v>
      </c>
      <c r="J2427">
        <v>38685</v>
      </c>
      <c r="K2427">
        <v>38685</v>
      </c>
      <c r="L2427">
        <v>38685</v>
      </c>
    </row>
    <row r="2428" spans="1:12" x14ac:dyDescent="0.2">
      <c r="A2428" t="s">
        <v>63</v>
      </c>
      <c r="B2428" t="s">
        <v>112</v>
      </c>
      <c r="C2428" t="s">
        <v>196</v>
      </c>
      <c r="D2428">
        <v>44705</v>
      </c>
      <c r="E2428">
        <v>44705</v>
      </c>
      <c r="F2428">
        <v>44705</v>
      </c>
      <c r="I2428">
        <v>43805</v>
      </c>
      <c r="J2428">
        <v>44705</v>
      </c>
      <c r="K2428">
        <v>44705</v>
      </c>
    </row>
    <row r="2429" spans="1:12" x14ac:dyDescent="0.2">
      <c r="A2429" t="s">
        <v>63</v>
      </c>
      <c r="B2429" t="s">
        <v>112</v>
      </c>
      <c r="C2429" t="s">
        <v>197</v>
      </c>
      <c r="D2429">
        <v>42405</v>
      </c>
      <c r="E2429">
        <v>42405</v>
      </c>
      <c r="I2429">
        <v>42220</v>
      </c>
      <c r="J2429">
        <v>42405</v>
      </c>
    </row>
    <row r="2430" spans="1:12" x14ac:dyDescent="0.2">
      <c r="A2430" t="s">
        <v>63</v>
      </c>
      <c r="B2430" t="s">
        <v>112</v>
      </c>
      <c r="C2430" t="s">
        <v>198</v>
      </c>
      <c r="D2430">
        <v>39150</v>
      </c>
      <c r="I2430">
        <v>38975</v>
      </c>
    </row>
    <row r="2431" spans="1:12" x14ac:dyDescent="0.2">
      <c r="A2431" t="s">
        <v>63</v>
      </c>
      <c r="B2431" t="s">
        <v>115</v>
      </c>
      <c r="C2431" t="s">
        <v>195</v>
      </c>
      <c r="D2431">
        <v>94100.15</v>
      </c>
      <c r="E2431">
        <v>91232.65</v>
      </c>
      <c r="F2431">
        <v>90487.65</v>
      </c>
      <c r="G2431">
        <v>90487.65</v>
      </c>
      <c r="I2431">
        <v>38321.65</v>
      </c>
      <c r="J2431">
        <v>63036.18</v>
      </c>
      <c r="K2431">
        <v>74343.990000000005</v>
      </c>
      <c r="L2431">
        <v>77428.08</v>
      </c>
    </row>
    <row r="2432" spans="1:12" x14ac:dyDescent="0.2">
      <c r="A2432" t="s">
        <v>63</v>
      </c>
      <c r="B2432" t="s">
        <v>115</v>
      </c>
      <c r="C2432" t="s">
        <v>196</v>
      </c>
      <c r="D2432">
        <v>134350.25</v>
      </c>
      <c r="E2432">
        <v>129058.75</v>
      </c>
      <c r="F2432">
        <v>128549.5</v>
      </c>
      <c r="I2432">
        <v>56566.5</v>
      </c>
      <c r="J2432">
        <v>95521.75</v>
      </c>
      <c r="K2432">
        <v>103714.75</v>
      </c>
    </row>
    <row r="2433" spans="1:12" x14ac:dyDescent="0.2">
      <c r="A2433" t="s">
        <v>63</v>
      </c>
      <c r="B2433" t="s">
        <v>115</v>
      </c>
      <c r="C2433" t="s">
        <v>197</v>
      </c>
      <c r="D2433">
        <v>140484.04999999999</v>
      </c>
      <c r="E2433">
        <v>137262.79999999999</v>
      </c>
      <c r="I2433">
        <v>58754.51</v>
      </c>
      <c r="J2433">
        <v>101245.21</v>
      </c>
    </row>
    <row r="2434" spans="1:12" x14ac:dyDescent="0.2">
      <c r="A2434" t="s">
        <v>63</v>
      </c>
      <c r="B2434" t="s">
        <v>115</v>
      </c>
      <c r="C2434" t="s">
        <v>198</v>
      </c>
      <c r="D2434">
        <v>146563.54999999999</v>
      </c>
      <c r="I2434">
        <v>55508.42</v>
      </c>
    </row>
    <row r="2435" spans="1:12" x14ac:dyDescent="0.2">
      <c r="A2435" t="s">
        <v>63</v>
      </c>
      <c r="B2435" t="s">
        <v>113</v>
      </c>
      <c r="C2435" t="s">
        <v>195</v>
      </c>
      <c r="D2435">
        <v>10692</v>
      </c>
      <c r="E2435">
        <v>10692</v>
      </c>
      <c r="F2435">
        <v>10692</v>
      </c>
      <c r="G2435">
        <v>10692</v>
      </c>
      <c r="I2435">
        <v>10692</v>
      </c>
      <c r="J2435">
        <v>10692</v>
      </c>
      <c r="K2435">
        <v>10692</v>
      </c>
      <c r="L2435">
        <v>10692</v>
      </c>
    </row>
    <row r="2436" spans="1:12" x14ac:dyDescent="0.2">
      <c r="A2436" t="s">
        <v>63</v>
      </c>
      <c r="B2436" t="s">
        <v>113</v>
      </c>
      <c r="C2436" t="s">
        <v>196</v>
      </c>
      <c r="D2436">
        <v>13856</v>
      </c>
      <c r="E2436">
        <v>13856</v>
      </c>
      <c r="F2436">
        <v>13856</v>
      </c>
      <c r="I2436">
        <v>13856</v>
      </c>
      <c r="J2436">
        <v>13856</v>
      </c>
      <c r="K2436">
        <v>13856</v>
      </c>
    </row>
    <row r="2437" spans="1:12" x14ac:dyDescent="0.2">
      <c r="A2437" t="s">
        <v>63</v>
      </c>
      <c r="B2437" t="s">
        <v>113</v>
      </c>
      <c r="C2437" t="s">
        <v>197</v>
      </c>
      <c r="D2437">
        <v>12460</v>
      </c>
      <c r="E2437">
        <v>12460</v>
      </c>
      <c r="I2437">
        <v>12460</v>
      </c>
      <c r="J2437">
        <v>12460</v>
      </c>
    </row>
    <row r="2438" spans="1:12" x14ac:dyDescent="0.2">
      <c r="A2438" t="s">
        <v>63</v>
      </c>
      <c r="B2438" t="s">
        <v>113</v>
      </c>
      <c r="C2438" t="s">
        <v>198</v>
      </c>
      <c r="D2438">
        <v>13792</v>
      </c>
      <c r="I2438">
        <v>13356</v>
      </c>
    </row>
    <row r="2439" spans="1:12" x14ac:dyDescent="0.2">
      <c r="A2439" t="s">
        <v>63</v>
      </c>
      <c r="B2439" t="s">
        <v>72</v>
      </c>
      <c r="C2439" t="s">
        <v>195</v>
      </c>
      <c r="D2439">
        <v>15559.5</v>
      </c>
      <c r="E2439">
        <v>15559.5</v>
      </c>
      <c r="F2439">
        <v>15559.5</v>
      </c>
      <c r="G2439">
        <v>15559.5</v>
      </c>
      <c r="I2439">
        <v>15123.5</v>
      </c>
      <c r="J2439">
        <v>15123.5</v>
      </c>
      <c r="K2439">
        <v>15123.5</v>
      </c>
      <c r="L2439">
        <v>15123.5</v>
      </c>
    </row>
    <row r="2440" spans="1:12" x14ac:dyDescent="0.2">
      <c r="A2440" t="s">
        <v>63</v>
      </c>
      <c r="B2440" t="s">
        <v>72</v>
      </c>
      <c r="C2440" t="s">
        <v>196</v>
      </c>
      <c r="D2440">
        <v>28383.42</v>
      </c>
      <c r="E2440">
        <v>28383.42</v>
      </c>
      <c r="F2440">
        <v>28383.42</v>
      </c>
      <c r="I2440">
        <v>26747.42</v>
      </c>
      <c r="J2440">
        <v>27075.42</v>
      </c>
      <c r="K2440">
        <v>27075.42</v>
      </c>
    </row>
    <row r="2441" spans="1:12" x14ac:dyDescent="0.2">
      <c r="A2441" t="s">
        <v>63</v>
      </c>
      <c r="B2441" t="s">
        <v>72</v>
      </c>
      <c r="C2441" t="s">
        <v>197</v>
      </c>
      <c r="D2441">
        <v>19926</v>
      </c>
      <c r="E2441">
        <v>19926</v>
      </c>
      <c r="I2441">
        <v>19490</v>
      </c>
      <c r="J2441">
        <v>19490</v>
      </c>
    </row>
    <row r="2442" spans="1:12" x14ac:dyDescent="0.2">
      <c r="A2442" t="s">
        <v>63</v>
      </c>
      <c r="B2442" t="s">
        <v>72</v>
      </c>
      <c r="C2442" t="s">
        <v>198</v>
      </c>
      <c r="D2442">
        <v>13792</v>
      </c>
      <c r="I2442">
        <v>13356</v>
      </c>
    </row>
    <row r="2443" spans="1:12" x14ac:dyDescent="0.2">
      <c r="A2443" t="s">
        <v>64</v>
      </c>
      <c r="B2443" t="s">
        <v>109</v>
      </c>
      <c r="C2443" t="s">
        <v>195</v>
      </c>
      <c r="D2443">
        <v>98662.15</v>
      </c>
      <c r="E2443">
        <v>100856.57</v>
      </c>
      <c r="F2443">
        <v>98806.57</v>
      </c>
      <c r="G2443">
        <v>98806.57</v>
      </c>
      <c r="I2443">
        <v>5058.83</v>
      </c>
      <c r="J2443">
        <v>7835.69</v>
      </c>
      <c r="K2443">
        <v>12338.21</v>
      </c>
      <c r="L2443">
        <v>13520.07</v>
      </c>
    </row>
    <row r="2444" spans="1:12" x14ac:dyDescent="0.2">
      <c r="A2444" t="s">
        <v>64</v>
      </c>
      <c r="B2444" t="s">
        <v>109</v>
      </c>
      <c r="C2444" t="s">
        <v>196</v>
      </c>
      <c r="D2444">
        <v>171722.34</v>
      </c>
      <c r="E2444">
        <v>171722.34</v>
      </c>
      <c r="F2444">
        <v>171872.34</v>
      </c>
      <c r="I2444">
        <v>4333.29</v>
      </c>
      <c r="J2444">
        <v>8747.98</v>
      </c>
      <c r="K2444">
        <v>11061.23</v>
      </c>
    </row>
    <row r="2445" spans="1:12" x14ac:dyDescent="0.2">
      <c r="A2445" t="s">
        <v>64</v>
      </c>
      <c r="B2445" t="s">
        <v>109</v>
      </c>
      <c r="C2445" t="s">
        <v>197</v>
      </c>
      <c r="D2445">
        <v>169950.89</v>
      </c>
      <c r="E2445">
        <v>169950.89</v>
      </c>
      <c r="I2445">
        <v>4037.32</v>
      </c>
      <c r="J2445">
        <v>5876.74</v>
      </c>
    </row>
    <row r="2446" spans="1:12" x14ac:dyDescent="0.2">
      <c r="A2446" t="s">
        <v>64</v>
      </c>
      <c r="B2446" t="s">
        <v>109</v>
      </c>
      <c r="C2446" t="s">
        <v>198</v>
      </c>
      <c r="D2446">
        <v>647432.34</v>
      </c>
      <c r="I2446">
        <v>3089.09</v>
      </c>
    </row>
    <row r="2447" spans="1:12" x14ac:dyDescent="0.2">
      <c r="A2447" t="s">
        <v>64</v>
      </c>
      <c r="B2447" t="s">
        <v>145</v>
      </c>
      <c r="C2447" t="s">
        <v>195</v>
      </c>
    </row>
    <row r="2448" spans="1:12" x14ac:dyDescent="0.2">
      <c r="A2448" t="s">
        <v>64</v>
      </c>
      <c r="B2448" t="s">
        <v>145</v>
      </c>
      <c r="C2448" t="s">
        <v>196</v>
      </c>
    </row>
    <row r="2449" spans="1:12" x14ac:dyDescent="0.2">
      <c r="A2449" t="s">
        <v>64</v>
      </c>
      <c r="B2449" t="s">
        <v>145</v>
      </c>
      <c r="C2449" t="s">
        <v>197</v>
      </c>
    </row>
    <row r="2450" spans="1:12" x14ac:dyDescent="0.2">
      <c r="A2450" t="s">
        <v>64</v>
      </c>
      <c r="B2450" t="s">
        <v>145</v>
      </c>
      <c r="C2450" t="s">
        <v>198</v>
      </c>
    </row>
    <row r="2451" spans="1:12" x14ac:dyDescent="0.2">
      <c r="A2451" t="s">
        <v>64</v>
      </c>
      <c r="B2451" t="s">
        <v>110</v>
      </c>
      <c r="C2451" t="s">
        <v>195</v>
      </c>
      <c r="D2451">
        <v>39463.25</v>
      </c>
      <c r="E2451">
        <v>40889.25</v>
      </c>
      <c r="F2451">
        <v>41789.25</v>
      </c>
      <c r="G2451">
        <v>41789.25</v>
      </c>
      <c r="I2451">
        <v>11627</v>
      </c>
      <c r="J2451">
        <v>18607</v>
      </c>
      <c r="K2451">
        <v>24093.5</v>
      </c>
      <c r="L2451">
        <v>26715.75</v>
      </c>
    </row>
    <row r="2452" spans="1:12" x14ac:dyDescent="0.2">
      <c r="A2452" t="s">
        <v>64</v>
      </c>
      <c r="B2452" t="s">
        <v>110</v>
      </c>
      <c r="C2452" t="s">
        <v>196</v>
      </c>
      <c r="D2452">
        <v>41501</v>
      </c>
      <c r="E2452">
        <v>41501</v>
      </c>
      <c r="F2452">
        <v>41501</v>
      </c>
      <c r="I2452">
        <v>3972.5</v>
      </c>
      <c r="J2452">
        <v>9964.5</v>
      </c>
      <c r="K2452">
        <v>14066.5</v>
      </c>
    </row>
    <row r="2453" spans="1:12" x14ac:dyDescent="0.2">
      <c r="A2453" t="s">
        <v>64</v>
      </c>
      <c r="B2453" t="s">
        <v>110</v>
      </c>
      <c r="C2453" t="s">
        <v>197</v>
      </c>
      <c r="D2453">
        <v>39698</v>
      </c>
      <c r="E2453">
        <v>40762</v>
      </c>
      <c r="I2453">
        <v>3531</v>
      </c>
      <c r="J2453">
        <v>10611.77</v>
      </c>
    </row>
    <row r="2454" spans="1:12" x14ac:dyDescent="0.2">
      <c r="A2454" t="s">
        <v>64</v>
      </c>
      <c r="B2454" t="s">
        <v>110</v>
      </c>
      <c r="C2454" t="s">
        <v>198</v>
      </c>
      <c r="D2454">
        <v>45767</v>
      </c>
      <c r="I2454">
        <v>7129</v>
      </c>
    </row>
    <row r="2455" spans="1:12" x14ac:dyDescent="0.2">
      <c r="A2455" t="s">
        <v>64</v>
      </c>
      <c r="B2455" t="s">
        <v>116</v>
      </c>
      <c r="C2455" t="s">
        <v>195</v>
      </c>
      <c r="D2455">
        <v>1033</v>
      </c>
      <c r="E2455">
        <v>1083</v>
      </c>
      <c r="F2455">
        <v>1083</v>
      </c>
      <c r="G2455">
        <v>1083</v>
      </c>
      <c r="I2455">
        <v>0</v>
      </c>
      <c r="J2455">
        <v>0</v>
      </c>
      <c r="K2455">
        <v>0</v>
      </c>
      <c r="L2455">
        <v>0</v>
      </c>
    </row>
    <row r="2456" spans="1:12" x14ac:dyDescent="0.2">
      <c r="A2456" t="s">
        <v>64</v>
      </c>
      <c r="B2456" t="s">
        <v>116</v>
      </c>
      <c r="C2456" t="s">
        <v>196</v>
      </c>
      <c r="D2456">
        <v>1404</v>
      </c>
      <c r="E2456">
        <v>1404</v>
      </c>
      <c r="F2456">
        <v>1404</v>
      </c>
      <c r="I2456">
        <v>0</v>
      </c>
      <c r="J2456">
        <v>332.1</v>
      </c>
      <c r="K2456">
        <v>482.1</v>
      </c>
    </row>
    <row r="2457" spans="1:12" x14ac:dyDescent="0.2">
      <c r="A2457" t="s">
        <v>64</v>
      </c>
      <c r="B2457" t="s">
        <v>116</v>
      </c>
      <c r="C2457" t="s">
        <v>197</v>
      </c>
      <c r="D2457">
        <v>2665</v>
      </c>
      <c r="E2457">
        <v>2665</v>
      </c>
      <c r="I2457">
        <v>0</v>
      </c>
      <c r="J2457">
        <v>0</v>
      </c>
    </row>
    <row r="2458" spans="1:12" x14ac:dyDescent="0.2">
      <c r="A2458" t="s">
        <v>64</v>
      </c>
      <c r="B2458" t="s">
        <v>116</v>
      </c>
      <c r="C2458" t="s">
        <v>198</v>
      </c>
      <c r="D2458">
        <v>7277</v>
      </c>
      <c r="I2458">
        <v>0</v>
      </c>
    </row>
    <row r="2459" spans="1:12" x14ac:dyDescent="0.2">
      <c r="A2459" t="s">
        <v>64</v>
      </c>
      <c r="B2459" t="s">
        <v>114</v>
      </c>
      <c r="C2459" t="s">
        <v>195</v>
      </c>
      <c r="D2459">
        <v>37403</v>
      </c>
      <c r="E2459">
        <v>37157</v>
      </c>
      <c r="F2459">
        <v>37157</v>
      </c>
      <c r="G2459">
        <v>37107</v>
      </c>
      <c r="I2459">
        <v>3451.35</v>
      </c>
      <c r="J2459">
        <v>11948.3</v>
      </c>
      <c r="K2459">
        <v>17955.650000000001</v>
      </c>
      <c r="L2459">
        <v>19705.650000000001</v>
      </c>
    </row>
    <row r="2460" spans="1:12" x14ac:dyDescent="0.2">
      <c r="A2460" t="s">
        <v>64</v>
      </c>
      <c r="B2460" t="s">
        <v>114</v>
      </c>
      <c r="C2460" t="s">
        <v>196</v>
      </c>
      <c r="D2460">
        <v>41635.5</v>
      </c>
      <c r="E2460">
        <v>41635.5</v>
      </c>
      <c r="F2460">
        <v>41635.5</v>
      </c>
      <c r="I2460">
        <v>3101.8</v>
      </c>
      <c r="J2460">
        <v>9036.2800000000007</v>
      </c>
      <c r="K2460">
        <v>13117.65</v>
      </c>
    </row>
    <row r="2461" spans="1:12" x14ac:dyDescent="0.2">
      <c r="A2461" t="s">
        <v>64</v>
      </c>
      <c r="B2461" t="s">
        <v>114</v>
      </c>
      <c r="C2461" t="s">
        <v>197</v>
      </c>
      <c r="D2461">
        <v>28939.45</v>
      </c>
      <c r="E2461">
        <v>28951.5</v>
      </c>
      <c r="I2461">
        <v>3572.8</v>
      </c>
      <c r="J2461">
        <v>7139.7</v>
      </c>
    </row>
    <row r="2462" spans="1:12" x14ac:dyDescent="0.2">
      <c r="A2462" t="s">
        <v>64</v>
      </c>
      <c r="B2462" t="s">
        <v>114</v>
      </c>
      <c r="C2462" t="s">
        <v>198</v>
      </c>
      <c r="D2462">
        <v>38012.449999999997</v>
      </c>
      <c r="I2462">
        <v>2564.8000000000002</v>
      </c>
    </row>
    <row r="2463" spans="1:12" x14ac:dyDescent="0.2">
      <c r="A2463" t="s">
        <v>64</v>
      </c>
      <c r="B2463" t="s">
        <v>111</v>
      </c>
      <c r="C2463" t="s">
        <v>195</v>
      </c>
      <c r="D2463">
        <v>14578.3</v>
      </c>
      <c r="E2463">
        <v>14578.3</v>
      </c>
      <c r="F2463">
        <v>14678.3</v>
      </c>
      <c r="G2463">
        <v>14678.3</v>
      </c>
      <c r="I2463">
        <v>12823.3</v>
      </c>
      <c r="J2463">
        <v>14528.3</v>
      </c>
      <c r="K2463">
        <v>14528.3</v>
      </c>
      <c r="L2463">
        <v>14528.3</v>
      </c>
    </row>
    <row r="2464" spans="1:12" x14ac:dyDescent="0.2">
      <c r="A2464" t="s">
        <v>64</v>
      </c>
      <c r="B2464" t="s">
        <v>111</v>
      </c>
      <c r="C2464" t="s">
        <v>196</v>
      </c>
      <c r="D2464">
        <v>26641</v>
      </c>
      <c r="E2464">
        <v>26641</v>
      </c>
      <c r="F2464">
        <v>26641</v>
      </c>
      <c r="I2464">
        <v>25095</v>
      </c>
      <c r="J2464">
        <v>26000</v>
      </c>
      <c r="K2464">
        <v>26000</v>
      </c>
    </row>
    <row r="2465" spans="1:12" x14ac:dyDescent="0.2">
      <c r="A2465" t="s">
        <v>64</v>
      </c>
      <c r="B2465" t="s">
        <v>111</v>
      </c>
      <c r="C2465" t="s">
        <v>197</v>
      </c>
      <c r="D2465">
        <v>21142.5</v>
      </c>
      <c r="E2465">
        <v>21142.5</v>
      </c>
      <c r="I2465">
        <v>19392</v>
      </c>
      <c r="J2465">
        <v>20697</v>
      </c>
    </row>
    <row r="2466" spans="1:12" x14ac:dyDescent="0.2">
      <c r="A2466" t="s">
        <v>64</v>
      </c>
      <c r="B2466" t="s">
        <v>111</v>
      </c>
      <c r="C2466" t="s">
        <v>198</v>
      </c>
      <c r="D2466">
        <v>17912.54</v>
      </c>
      <c r="I2466">
        <v>16167.54</v>
      </c>
    </row>
    <row r="2467" spans="1:12" x14ac:dyDescent="0.2">
      <c r="A2467" t="s">
        <v>64</v>
      </c>
      <c r="B2467" t="s">
        <v>112</v>
      </c>
      <c r="C2467" t="s">
        <v>195</v>
      </c>
      <c r="D2467">
        <v>16047.7</v>
      </c>
      <c r="E2467">
        <v>16047.7</v>
      </c>
      <c r="F2467">
        <v>16047.7</v>
      </c>
      <c r="G2467">
        <v>16047.7</v>
      </c>
      <c r="I2467">
        <v>15107.2</v>
      </c>
      <c r="J2467">
        <v>16047.7</v>
      </c>
      <c r="K2467">
        <v>16047.7</v>
      </c>
      <c r="L2467">
        <v>16047.7</v>
      </c>
    </row>
    <row r="2468" spans="1:12" x14ac:dyDescent="0.2">
      <c r="A2468" t="s">
        <v>64</v>
      </c>
      <c r="B2468" t="s">
        <v>112</v>
      </c>
      <c r="C2468" t="s">
        <v>196</v>
      </c>
      <c r="D2468">
        <v>14762.88</v>
      </c>
      <c r="E2468">
        <v>14762.88</v>
      </c>
      <c r="F2468">
        <v>14762.88</v>
      </c>
      <c r="I2468">
        <v>13662.88</v>
      </c>
      <c r="J2468">
        <v>13847.88</v>
      </c>
      <c r="K2468">
        <v>13847.88</v>
      </c>
    </row>
    <row r="2469" spans="1:12" x14ac:dyDescent="0.2">
      <c r="A2469" t="s">
        <v>64</v>
      </c>
      <c r="B2469" t="s">
        <v>112</v>
      </c>
      <c r="C2469" t="s">
        <v>197</v>
      </c>
      <c r="D2469">
        <v>13260</v>
      </c>
      <c r="E2469">
        <v>13260</v>
      </c>
      <c r="I2469">
        <v>11655</v>
      </c>
      <c r="J2469">
        <v>13260</v>
      </c>
    </row>
    <row r="2470" spans="1:12" x14ac:dyDescent="0.2">
      <c r="A2470" t="s">
        <v>64</v>
      </c>
      <c r="B2470" t="s">
        <v>112</v>
      </c>
      <c r="C2470" t="s">
        <v>198</v>
      </c>
      <c r="D2470">
        <v>14626.38</v>
      </c>
      <c r="I2470">
        <v>14141.38</v>
      </c>
    </row>
    <row r="2471" spans="1:12" x14ac:dyDescent="0.2">
      <c r="A2471" t="s">
        <v>64</v>
      </c>
      <c r="B2471" t="s">
        <v>115</v>
      </c>
      <c r="C2471" t="s">
        <v>195</v>
      </c>
      <c r="D2471">
        <v>89531</v>
      </c>
      <c r="E2471">
        <v>83790</v>
      </c>
      <c r="F2471">
        <v>82362</v>
      </c>
      <c r="G2471">
        <v>81858</v>
      </c>
      <c r="I2471">
        <v>34821.5</v>
      </c>
      <c r="J2471">
        <v>67917.5</v>
      </c>
      <c r="K2471">
        <v>71753.5</v>
      </c>
      <c r="L2471">
        <v>72927.5</v>
      </c>
    </row>
    <row r="2472" spans="1:12" x14ac:dyDescent="0.2">
      <c r="A2472" t="s">
        <v>64</v>
      </c>
      <c r="B2472" t="s">
        <v>115</v>
      </c>
      <c r="C2472" t="s">
        <v>196</v>
      </c>
      <c r="D2472">
        <v>96668</v>
      </c>
      <c r="E2472">
        <v>96668</v>
      </c>
      <c r="F2472">
        <v>94559</v>
      </c>
      <c r="I2472">
        <v>45034</v>
      </c>
      <c r="J2472">
        <v>73604</v>
      </c>
      <c r="K2472">
        <v>78786</v>
      </c>
    </row>
    <row r="2473" spans="1:12" x14ac:dyDescent="0.2">
      <c r="A2473" t="s">
        <v>64</v>
      </c>
      <c r="B2473" t="s">
        <v>115</v>
      </c>
      <c r="C2473" t="s">
        <v>197</v>
      </c>
      <c r="D2473">
        <v>93528</v>
      </c>
      <c r="E2473">
        <v>87047</v>
      </c>
      <c r="I2473">
        <v>44381</v>
      </c>
      <c r="J2473">
        <v>67350</v>
      </c>
    </row>
    <row r="2474" spans="1:12" x14ac:dyDescent="0.2">
      <c r="A2474" t="s">
        <v>64</v>
      </c>
      <c r="B2474" t="s">
        <v>115</v>
      </c>
      <c r="C2474" t="s">
        <v>198</v>
      </c>
      <c r="D2474">
        <v>82006</v>
      </c>
      <c r="I2474">
        <v>34999</v>
      </c>
    </row>
    <row r="2475" spans="1:12" x14ac:dyDescent="0.2">
      <c r="A2475" t="s">
        <v>64</v>
      </c>
      <c r="B2475" t="s">
        <v>113</v>
      </c>
      <c r="C2475" t="s">
        <v>195</v>
      </c>
      <c r="D2475">
        <v>4730</v>
      </c>
      <c r="E2475">
        <v>4730</v>
      </c>
      <c r="F2475">
        <v>4730</v>
      </c>
      <c r="G2475">
        <v>4730</v>
      </c>
      <c r="I2475">
        <v>4730</v>
      </c>
      <c r="J2475">
        <v>4730</v>
      </c>
      <c r="K2475">
        <v>4730</v>
      </c>
      <c r="L2475">
        <v>4730</v>
      </c>
    </row>
    <row r="2476" spans="1:12" x14ac:dyDescent="0.2">
      <c r="A2476" t="s">
        <v>64</v>
      </c>
      <c r="B2476" t="s">
        <v>113</v>
      </c>
      <c r="C2476" t="s">
        <v>196</v>
      </c>
      <c r="D2476">
        <v>7358</v>
      </c>
      <c r="E2476">
        <v>7358</v>
      </c>
      <c r="F2476">
        <v>7358</v>
      </c>
      <c r="I2476">
        <v>7358</v>
      </c>
      <c r="J2476">
        <v>7358</v>
      </c>
      <c r="K2476">
        <v>7358</v>
      </c>
    </row>
    <row r="2477" spans="1:12" x14ac:dyDescent="0.2">
      <c r="A2477" t="s">
        <v>64</v>
      </c>
      <c r="B2477" t="s">
        <v>113</v>
      </c>
      <c r="C2477" t="s">
        <v>197</v>
      </c>
      <c r="D2477">
        <v>5595</v>
      </c>
      <c r="E2477">
        <v>5595</v>
      </c>
      <c r="I2477">
        <v>5195</v>
      </c>
      <c r="J2477">
        <v>5595</v>
      </c>
    </row>
    <row r="2478" spans="1:12" x14ac:dyDescent="0.2">
      <c r="A2478" t="s">
        <v>64</v>
      </c>
      <c r="B2478" t="s">
        <v>113</v>
      </c>
      <c r="C2478" t="s">
        <v>198</v>
      </c>
      <c r="D2478">
        <v>5323</v>
      </c>
      <c r="I2478">
        <v>5092</v>
      </c>
    </row>
    <row r="2479" spans="1:12" x14ac:dyDescent="0.2">
      <c r="A2479" t="s">
        <v>64</v>
      </c>
      <c r="B2479" t="s">
        <v>72</v>
      </c>
      <c r="C2479" t="s">
        <v>195</v>
      </c>
      <c r="D2479">
        <v>14340</v>
      </c>
      <c r="E2479">
        <v>14340</v>
      </c>
      <c r="F2479">
        <v>14340</v>
      </c>
      <c r="G2479">
        <v>14340</v>
      </c>
      <c r="I2479">
        <v>12229</v>
      </c>
      <c r="J2479">
        <v>12637</v>
      </c>
      <c r="K2479">
        <v>12637</v>
      </c>
      <c r="L2479">
        <v>12637</v>
      </c>
    </row>
    <row r="2480" spans="1:12" x14ac:dyDescent="0.2">
      <c r="A2480" t="s">
        <v>64</v>
      </c>
      <c r="B2480" t="s">
        <v>72</v>
      </c>
      <c r="C2480" t="s">
        <v>196</v>
      </c>
      <c r="D2480">
        <v>13392</v>
      </c>
      <c r="E2480">
        <v>13392</v>
      </c>
      <c r="F2480">
        <v>13392</v>
      </c>
      <c r="I2480">
        <v>11159</v>
      </c>
      <c r="J2480">
        <v>12152</v>
      </c>
      <c r="K2480">
        <v>12152</v>
      </c>
    </row>
    <row r="2481" spans="1:12" x14ac:dyDescent="0.2">
      <c r="A2481" t="s">
        <v>64</v>
      </c>
      <c r="B2481" t="s">
        <v>72</v>
      </c>
      <c r="C2481" t="s">
        <v>197</v>
      </c>
      <c r="D2481">
        <v>12165</v>
      </c>
      <c r="E2481">
        <v>12165</v>
      </c>
      <c r="I2481">
        <v>9997</v>
      </c>
      <c r="J2481">
        <v>10439</v>
      </c>
    </row>
    <row r="2482" spans="1:12" x14ac:dyDescent="0.2">
      <c r="A2482" t="s">
        <v>64</v>
      </c>
      <c r="B2482" t="s">
        <v>72</v>
      </c>
      <c r="C2482" t="s">
        <v>198</v>
      </c>
      <c r="D2482">
        <v>7086</v>
      </c>
      <c r="I2482">
        <v>5763</v>
      </c>
    </row>
    <row r="2483" spans="1:12" x14ac:dyDescent="0.2">
      <c r="A2483" t="s">
        <v>65</v>
      </c>
      <c r="B2483" t="s">
        <v>109</v>
      </c>
      <c r="C2483" t="s">
        <v>195</v>
      </c>
      <c r="D2483">
        <v>15153.25</v>
      </c>
      <c r="E2483">
        <v>14603.25</v>
      </c>
      <c r="F2483">
        <v>14653.25</v>
      </c>
      <c r="G2483">
        <v>14653.25</v>
      </c>
      <c r="I2483">
        <v>50</v>
      </c>
      <c r="J2483">
        <v>1237</v>
      </c>
      <c r="K2483">
        <v>2204.39</v>
      </c>
      <c r="L2483">
        <v>2692.16</v>
      </c>
    </row>
    <row r="2484" spans="1:12" x14ac:dyDescent="0.2">
      <c r="A2484" t="s">
        <v>65</v>
      </c>
      <c r="B2484" t="s">
        <v>109</v>
      </c>
      <c r="C2484" t="s">
        <v>196</v>
      </c>
      <c r="D2484">
        <v>25373.75</v>
      </c>
      <c r="E2484">
        <v>25273.75</v>
      </c>
      <c r="F2484">
        <v>25123.75</v>
      </c>
      <c r="I2484">
        <v>0</v>
      </c>
      <c r="J2484">
        <v>223.08</v>
      </c>
      <c r="K2484">
        <v>695.55</v>
      </c>
    </row>
    <row r="2485" spans="1:12" x14ac:dyDescent="0.2">
      <c r="A2485" t="s">
        <v>65</v>
      </c>
      <c r="B2485" t="s">
        <v>109</v>
      </c>
      <c r="C2485" t="s">
        <v>197</v>
      </c>
      <c r="D2485">
        <v>19377.5</v>
      </c>
      <c r="E2485">
        <v>19177.5</v>
      </c>
      <c r="I2485">
        <v>76.58</v>
      </c>
      <c r="J2485">
        <v>707.35</v>
      </c>
    </row>
    <row r="2486" spans="1:12" x14ac:dyDescent="0.2">
      <c r="A2486" t="s">
        <v>65</v>
      </c>
      <c r="B2486" t="s">
        <v>109</v>
      </c>
      <c r="C2486" t="s">
        <v>198</v>
      </c>
      <c r="D2486">
        <v>18126.5</v>
      </c>
      <c r="I2486">
        <v>0</v>
      </c>
    </row>
    <row r="2487" spans="1:12" x14ac:dyDescent="0.2">
      <c r="A2487" t="s">
        <v>65</v>
      </c>
      <c r="B2487" t="s">
        <v>145</v>
      </c>
      <c r="C2487" t="s">
        <v>195</v>
      </c>
      <c r="D2487">
        <v>0</v>
      </c>
      <c r="E2487">
        <v>0</v>
      </c>
      <c r="F2487">
        <v>0</v>
      </c>
      <c r="G2487">
        <v>0</v>
      </c>
      <c r="I2487">
        <v>0</v>
      </c>
      <c r="J2487">
        <v>0</v>
      </c>
      <c r="K2487">
        <v>0</v>
      </c>
      <c r="L2487">
        <v>0</v>
      </c>
    </row>
    <row r="2488" spans="1:12" x14ac:dyDescent="0.2">
      <c r="A2488" t="s">
        <v>65</v>
      </c>
      <c r="B2488" t="s">
        <v>145</v>
      </c>
      <c r="C2488" t="s">
        <v>196</v>
      </c>
      <c r="D2488">
        <v>0</v>
      </c>
      <c r="E2488">
        <v>0</v>
      </c>
      <c r="F2488">
        <v>0</v>
      </c>
      <c r="I2488">
        <v>0</v>
      </c>
      <c r="J2488">
        <v>0</v>
      </c>
      <c r="K2488">
        <v>0</v>
      </c>
    </row>
    <row r="2489" spans="1:12" x14ac:dyDescent="0.2">
      <c r="A2489" t="s">
        <v>65</v>
      </c>
      <c r="B2489" t="s">
        <v>145</v>
      </c>
      <c r="C2489" t="s">
        <v>197</v>
      </c>
      <c r="D2489">
        <v>0</v>
      </c>
      <c r="E2489">
        <v>0</v>
      </c>
      <c r="I2489">
        <v>0</v>
      </c>
      <c r="J2489">
        <v>0</v>
      </c>
    </row>
    <row r="2490" spans="1:12" x14ac:dyDescent="0.2">
      <c r="A2490" t="s">
        <v>65</v>
      </c>
      <c r="B2490" t="s">
        <v>145</v>
      </c>
      <c r="C2490" t="s">
        <v>198</v>
      </c>
      <c r="D2490">
        <v>0</v>
      </c>
      <c r="I2490">
        <v>0</v>
      </c>
    </row>
    <row r="2491" spans="1:12" x14ac:dyDescent="0.2">
      <c r="A2491" t="s">
        <v>65</v>
      </c>
      <c r="B2491" t="s">
        <v>110</v>
      </c>
      <c r="C2491" t="s">
        <v>195</v>
      </c>
      <c r="D2491">
        <v>3956.25</v>
      </c>
      <c r="E2491">
        <v>4056.25</v>
      </c>
      <c r="F2491">
        <v>4056.25</v>
      </c>
      <c r="G2491">
        <v>4056.25</v>
      </c>
      <c r="I2491">
        <v>625.25</v>
      </c>
      <c r="J2491">
        <v>1172.5</v>
      </c>
      <c r="K2491">
        <v>1172.5</v>
      </c>
      <c r="L2491">
        <v>1272.5</v>
      </c>
    </row>
    <row r="2492" spans="1:12" x14ac:dyDescent="0.2">
      <c r="A2492" t="s">
        <v>65</v>
      </c>
      <c r="B2492" t="s">
        <v>110</v>
      </c>
      <c r="C2492" t="s">
        <v>196</v>
      </c>
      <c r="D2492">
        <v>10644</v>
      </c>
      <c r="E2492">
        <v>10644</v>
      </c>
      <c r="F2492">
        <v>10594</v>
      </c>
      <c r="I2492">
        <v>1094.25</v>
      </c>
      <c r="J2492">
        <v>2963.75</v>
      </c>
      <c r="K2492">
        <v>3185</v>
      </c>
    </row>
    <row r="2493" spans="1:12" x14ac:dyDescent="0.2">
      <c r="A2493" t="s">
        <v>65</v>
      </c>
      <c r="B2493" t="s">
        <v>110</v>
      </c>
      <c r="C2493" t="s">
        <v>197</v>
      </c>
      <c r="D2493">
        <v>10404.75</v>
      </c>
      <c r="E2493">
        <v>10048.5</v>
      </c>
      <c r="I2493">
        <v>3032.5</v>
      </c>
      <c r="J2493">
        <v>4794.75</v>
      </c>
    </row>
    <row r="2494" spans="1:12" x14ac:dyDescent="0.2">
      <c r="A2494" t="s">
        <v>65</v>
      </c>
      <c r="B2494" t="s">
        <v>110</v>
      </c>
      <c r="C2494" t="s">
        <v>198</v>
      </c>
      <c r="D2494">
        <v>3530.25</v>
      </c>
      <c r="I2494">
        <v>1377.75</v>
      </c>
    </row>
    <row r="2495" spans="1:12" x14ac:dyDescent="0.2">
      <c r="A2495" t="s">
        <v>65</v>
      </c>
      <c r="B2495" t="s">
        <v>116</v>
      </c>
      <c r="C2495" t="s">
        <v>195</v>
      </c>
      <c r="D2495">
        <v>875</v>
      </c>
      <c r="E2495">
        <v>875</v>
      </c>
      <c r="F2495">
        <v>875</v>
      </c>
      <c r="G2495">
        <v>875</v>
      </c>
      <c r="I2495">
        <v>437.5</v>
      </c>
      <c r="J2495">
        <v>437.5</v>
      </c>
      <c r="K2495">
        <v>437.5</v>
      </c>
      <c r="L2495">
        <v>437.5</v>
      </c>
    </row>
    <row r="2496" spans="1:12" x14ac:dyDescent="0.2">
      <c r="A2496" t="s">
        <v>65</v>
      </c>
      <c r="B2496" t="s">
        <v>116</v>
      </c>
      <c r="C2496" t="s">
        <v>196</v>
      </c>
      <c r="D2496">
        <v>1386.25</v>
      </c>
      <c r="E2496">
        <v>1386.25</v>
      </c>
      <c r="F2496">
        <v>1386.25</v>
      </c>
      <c r="I2496">
        <v>0</v>
      </c>
      <c r="J2496">
        <v>0</v>
      </c>
      <c r="K2496">
        <v>300</v>
      </c>
    </row>
    <row r="2497" spans="1:12" x14ac:dyDescent="0.2">
      <c r="A2497" t="s">
        <v>65</v>
      </c>
      <c r="B2497" t="s">
        <v>116</v>
      </c>
      <c r="C2497" t="s">
        <v>197</v>
      </c>
      <c r="D2497">
        <v>300</v>
      </c>
      <c r="E2497">
        <v>300</v>
      </c>
      <c r="I2497">
        <v>100</v>
      </c>
      <c r="J2497">
        <v>300</v>
      </c>
    </row>
    <row r="2498" spans="1:12" x14ac:dyDescent="0.2">
      <c r="A2498" t="s">
        <v>65</v>
      </c>
      <c r="B2498" t="s">
        <v>116</v>
      </c>
      <c r="C2498" t="s">
        <v>198</v>
      </c>
      <c r="D2498">
        <v>1500.5</v>
      </c>
      <c r="I2498">
        <v>10.5</v>
      </c>
    </row>
    <row r="2499" spans="1:12" x14ac:dyDescent="0.2">
      <c r="A2499" t="s">
        <v>65</v>
      </c>
      <c r="B2499" t="s">
        <v>114</v>
      </c>
      <c r="C2499" t="s">
        <v>195</v>
      </c>
      <c r="D2499">
        <v>5990</v>
      </c>
      <c r="E2499">
        <v>5500</v>
      </c>
      <c r="F2499">
        <v>5500</v>
      </c>
      <c r="G2499">
        <v>5500</v>
      </c>
      <c r="I2499">
        <v>1270.25</v>
      </c>
      <c r="J2499">
        <v>3733.75</v>
      </c>
      <c r="K2499">
        <v>4103</v>
      </c>
      <c r="L2499">
        <v>4153</v>
      </c>
    </row>
    <row r="2500" spans="1:12" x14ac:dyDescent="0.2">
      <c r="A2500" t="s">
        <v>65</v>
      </c>
      <c r="B2500" t="s">
        <v>114</v>
      </c>
      <c r="C2500" t="s">
        <v>196</v>
      </c>
      <c r="D2500">
        <v>13523.25</v>
      </c>
      <c r="E2500">
        <v>13523.25</v>
      </c>
      <c r="F2500">
        <v>13523.25</v>
      </c>
      <c r="I2500">
        <v>1839.75</v>
      </c>
      <c r="J2500">
        <v>5751.75</v>
      </c>
      <c r="K2500">
        <v>7078.5</v>
      </c>
    </row>
    <row r="2501" spans="1:12" x14ac:dyDescent="0.2">
      <c r="A2501" t="s">
        <v>65</v>
      </c>
      <c r="B2501" t="s">
        <v>114</v>
      </c>
      <c r="C2501" t="s">
        <v>197</v>
      </c>
      <c r="D2501">
        <v>10485.5</v>
      </c>
      <c r="E2501">
        <v>10485.5</v>
      </c>
      <c r="I2501">
        <v>1445.25</v>
      </c>
      <c r="J2501">
        <v>2124</v>
      </c>
    </row>
    <row r="2502" spans="1:12" x14ac:dyDescent="0.2">
      <c r="A2502" t="s">
        <v>65</v>
      </c>
      <c r="B2502" t="s">
        <v>114</v>
      </c>
      <c r="C2502" t="s">
        <v>198</v>
      </c>
      <c r="D2502">
        <v>13587</v>
      </c>
      <c r="I2502">
        <v>1704.25</v>
      </c>
    </row>
    <row r="2503" spans="1:12" x14ac:dyDescent="0.2">
      <c r="A2503" t="s">
        <v>65</v>
      </c>
      <c r="B2503" t="s">
        <v>111</v>
      </c>
      <c r="C2503" t="s">
        <v>195</v>
      </c>
      <c r="D2503">
        <v>10616.02</v>
      </c>
      <c r="E2503">
        <v>10216.02</v>
      </c>
      <c r="F2503">
        <v>10216.02</v>
      </c>
      <c r="G2503">
        <v>10216.02</v>
      </c>
      <c r="I2503">
        <v>8866.02</v>
      </c>
      <c r="J2503">
        <v>9816.02</v>
      </c>
      <c r="K2503">
        <v>9816.02</v>
      </c>
      <c r="L2503">
        <v>9816.02</v>
      </c>
    </row>
    <row r="2504" spans="1:12" x14ac:dyDescent="0.2">
      <c r="A2504" t="s">
        <v>65</v>
      </c>
      <c r="B2504" t="s">
        <v>111</v>
      </c>
      <c r="C2504" t="s">
        <v>196</v>
      </c>
      <c r="D2504">
        <v>15297.25</v>
      </c>
      <c r="E2504">
        <v>15297.25</v>
      </c>
      <c r="F2504">
        <v>15297.25</v>
      </c>
      <c r="I2504">
        <v>12897.25</v>
      </c>
      <c r="J2504">
        <v>12897.25</v>
      </c>
      <c r="K2504">
        <v>12897.25</v>
      </c>
    </row>
    <row r="2505" spans="1:12" x14ac:dyDescent="0.2">
      <c r="A2505" t="s">
        <v>65</v>
      </c>
      <c r="B2505" t="s">
        <v>111</v>
      </c>
      <c r="C2505" t="s">
        <v>197</v>
      </c>
      <c r="D2505">
        <v>7755</v>
      </c>
      <c r="E2505">
        <v>7755</v>
      </c>
      <c r="I2505">
        <v>4955</v>
      </c>
      <c r="J2505">
        <v>4955</v>
      </c>
    </row>
    <row r="2506" spans="1:12" x14ac:dyDescent="0.2">
      <c r="A2506" t="s">
        <v>65</v>
      </c>
      <c r="B2506" t="s">
        <v>111</v>
      </c>
      <c r="C2506" t="s">
        <v>198</v>
      </c>
      <c r="D2506">
        <v>10079</v>
      </c>
      <c r="I2506">
        <v>7679</v>
      </c>
    </row>
    <row r="2507" spans="1:12" x14ac:dyDescent="0.2">
      <c r="A2507" t="s">
        <v>65</v>
      </c>
      <c r="B2507" t="s">
        <v>112</v>
      </c>
      <c r="C2507" t="s">
        <v>195</v>
      </c>
      <c r="D2507">
        <v>8645</v>
      </c>
      <c r="E2507">
        <v>8645</v>
      </c>
      <c r="F2507">
        <v>8645</v>
      </c>
      <c r="G2507">
        <v>8645</v>
      </c>
      <c r="I2507">
        <v>8614.2999999999993</v>
      </c>
      <c r="J2507">
        <v>8625</v>
      </c>
      <c r="K2507">
        <v>8625</v>
      </c>
      <c r="L2507">
        <v>8625</v>
      </c>
    </row>
    <row r="2508" spans="1:12" x14ac:dyDescent="0.2">
      <c r="A2508" t="s">
        <v>65</v>
      </c>
      <c r="B2508" t="s">
        <v>112</v>
      </c>
      <c r="C2508" t="s">
        <v>196</v>
      </c>
      <c r="D2508">
        <v>6714.15</v>
      </c>
      <c r="E2508">
        <v>6634.15</v>
      </c>
      <c r="F2508">
        <v>6634.15</v>
      </c>
      <c r="I2508">
        <v>6634.15</v>
      </c>
      <c r="J2508">
        <v>6634.15</v>
      </c>
      <c r="K2508">
        <v>6634.15</v>
      </c>
    </row>
    <row r="2509" spans="1:12" x14ac:dyDescent="0.2">
      <c r="A2509" t="s">
        <v>65</v>
      </c>
      <c r="B2509" t="s">
        <v>112</v>
      </c>
      <c r="C2509" t="s">
        <v>197</v>
      </c>
      <c r="D2509">
        <v>10804.75</v>
      </c>
      <c r="E2509">
        <v>10804.75</v>
      </c>
      <c r="I2509">
        <v>10804.75</v>
      </c>
      <c r="J2509">
        <v>10804.75</v>
      </c>
    </row>
    <row r="2510" spans="1:12" x14ac:dyDescent="0.2">
      <c r="A2510" t="s">
        <v>65</v>
      </c>
      <c r="B2510" t="s">
        <v>112</v>
      </c>
      <c r="C2510" t="s">
        <v>198</v>
      </c>
      <c r="D2510">
        <v>12694.73</v>
      </c>
      <c r="I2510">
        <v>12009.73</v>
      </c>
    </row>
    <row r="2511" spans="1:12" x14ac:dyDescent="0.2">
      <c r="A2511" t="s">
        <v>65</v>
      </c>
      <c r="B2511" t="s">
        <v>115</v>
      </c>
      <c r="C2511" t="s">
        <v>195</v>
      </c>
      <c r="D2511">
        <v>31452.15</v>
      </c>
      <c r="E2511">
        <v>30335.65</v>
      </c>
      <c r="F2511">
        <v>29896.65</v>
      </c>
      <c r="G2511">
        <v>29846.65</v>
      </c>
      <c r="I2511">
        <v>10095.15</v>
      </c>
      <c r="J2511">
        <v>21460.400000000001</v>
      </c>
      <c r="K2511">
        <v>23216.400000000001</v>
      </c>
      <c r="L2511">
        <v>23383.65</v>
      </c>
    </row>
    <row r="2512" spans="1:12" x14ac:dyDescent="0.2">
      <c r="A2512" t="s">
        <v>65</v>
      </c>
      <c r="B2512" t="s">
        <v>115</v>
      </c>
      <c r="C2512" t="s">
        <v>196</v>
      </c>
      <c r="D2512">
        <v>28019.25</v>
      </c>
      <c r="E2512">
        <v>27107.25</v>
      </c>
      <c r="F2512">
        <v>26816.25</v>
      </c>
      <c r="I2512">
        <v>12618.25</v>
      </c>
      <c r="J2512">
        <v>21354.25</v>
      </c>
      <c r="K2512">
        <v>22210.25</v>
      </c>
    </row>
    <row r="2513" spans="1:12" x14ac:dyDescent="0.2">
      <c r="A2513" t="s">
        <v>65</v>
      </c>
      <c r="B2513" t="s">
        <v>115</v>
      </c>
      <c r="C2513" t="s">
        <v>197</v>
      </c>
      <c r="D2513">
        <v>34495.75</v>
      </c>
      <c r="E2513">
        <v>33967.25</v>
      </c>
      <c r="I2513">
        <v>16040.75</v>
      </c>
      <c r="J2513">
        <v>24870.25</v>
      </c>
    </row>
    <row r="2514" spans="1:12" x14ac:dyDescent="0.2">
      <c r="A2514" t="s">
        <v>65</v>
      </c>
      <c r="B2514" t="s">
        <v>115</v>
      </c>
      <c r="C2514" t="s">
        <v>198</v>
      </c>
      <c r="D2514">
        <v>35245.25</v>
      </c>
      <c r="I2514">
        <v>16465.25</v>
      </c>
    </row>
    <row r="2515" spans="1:12" x14ac:dyDescent="0.2">
      <c r="A2515" t="s">
        <v>65</v>
      </c>
      <c r="B2515" t="s">
        <v>113</v>
      </c>
      <c r="C2515" t="s">
        <v>195</v>
      </c>
      <c r="D2515">
        <v>1686</v>
      </c>
      <c r="E2515">
        <v>1686</v>
      </c>
      <c r="F2515">
        <v>1686</v>
      </c>
      <c r="G2515">
        <v>1686</v>
      </c>
      <c r="I2515">
        <v>1686</v>
      </c>
      <c r="J2515">
        <v>1686</v>
      </c>
      <c r="K2515">
        <v>1686</v>
      </c>
      <c r="L2515">
        <v>1686</v>
      </c>
    </row>
    <row r="2516" spans="1:12" x14ac:dyDescent="0.2">
      <c r="A2516" t="s">
        <v>65</v>
      </c>
      <c r="B2516" t="s">
        <v>113</v>
      </c>
      <c r="C2516" t="s">
        <v>196</v>
      </c>
      <c r="D2516">
        <v>3076</v>
      </c>
      <c r="E2516">
        <v>3076</v>
      </c>
      <c r="F2516">
        <v>3076</v>
      </c>
      <c r="I2516">
        <v>3076</v>
      </c>
      <c r="J2516">
        <v>3076</v>
      </c>
      <c r="K2516">
        <v>3076</v>
      </c>
    </row>
    <row r="2517" spans="1:12" x14ac:dyDescent="0.2">
      <c r="A2517" t="s">
        <v>65</v>
      </c>
      <c r="B2517" t="s">
        <v>113</v>
      </c>
      <c r="C2517" t="s">
        <v>197</v>
      </c>
      <c r="D2517">
        <v>2607</v>
      </c>
      <c r="E2517">
        <v>2607</v>
      </c>
      <c r="I2517">
        <v>2607</v>
      </c>
      <c r="J2517">
        <v>2607</v>
      </c>
    </row>
    <row r="2518" spans="1:12" x14ac:dyDescent="0.2">
      <c r="A2518" t="s">
        <v>65</v>
      </c>
      <c r="B2518" t="s">
        <v>113</v>
      </c>
      <c r="C2518" t="s">
        <v>198</v>
      </c>
      <c r="D2518">
        <v>1896</v>
      </c>
      <c r="I2518">
        <v>1896</v>
      </c>
    </row>
    <row r="2519" spans="1:12" x14ac:dyDescent="0.2">
      <c r="A2519" t="s">
        <v>65</v>
      </c>
      <c r="B2519" t="s">
        <v>72</v>
      </c>
      <c r="C2519" t="s">
        <v>195</v>
      </c>
      <c r="D2519">
        <v>6081</v>
      </c>
      <c r="E2519">
        <v>6081</v>
      </c>
      <c r="F2519">
        <v>6081</v>
      </c>
      <c r="G2519">
        <v>6081</v>
      </c>
      <c r="I2519">
        <v>5673</v>
      </c>
      <c r="J2519">
        <v>5873</v>
      </c>
      <c r="K2519">
        <v>6081</v>
      </c>
      <c r="L2519">
        <v>6081</v>
      </c>
    </row>
    <row r="2520" spans="1:12" x14ac:dyDescent="0.2">
      <c r="A2520" t="s">
        <v>65</v>
      </c>
      <c r="B2520" t="s">
        <v>72</v>
      </c>
      <c r="C2520" t="s">
        <v>196</v>
      </c>
      <c r="D2520">
        <v>7003</v>
      </c>
      <c r="E2520">
        <v>7003</v>
      </c>
      <c r="F2520">
        <v>7003</v>
      </c>
      <c r="I2520">
        <v>7003</v>
      </c>
      <c r="J2520">
        <v>7003</v>
      </c>
      <c r="K2520">
        <v>7003</v>
      </c>
    </row>
    <row r="2521" spans="1:12" x14ac:dyDescent="0.2">
      <c r="A2521" t="s">
        <v>65</v>
      </c>
      <c r="B2521" t="s">
        <v>72</v>
      </c>
      <c r="C2521" t="s">
        <v>197</v>
      </c>
      <c r="D2521">
        <v>8818</v>
      </c>
      <c r="E2521">
        <v>8818</v>
      </c>
      <c r="I2521">
        <v>8410</v>
      </c>
      <c r="J2521">
        <v>8410</v>
      </c>
    </row>
    <row r="2522" spans="1:12" x14ac:dyDescent="0.2">
      <c r="A2522" t="s">
        <v>65</v>
      </c>
      <c r="B2522" t="s">
        <v>72</v>
      </c>
      <c r="C2522" t="s">
        <v>198</v>
      </c>
      <c r="D2522">
        <v>8001</v>
      </c>
      <c r="I2522">
        <v>6893</v>
      </c>
    </row>
    <row r="2523" spans="1:12" x14ac:dyDescent="0.2">
      <c r="A2523" t="s">
        <v>66</v>
      </c>
      <c r="B2523" t="s">
        <v>109</v>
      </c>
      <c r="C2523" t="s">
        <v>195</v>
      </c>
      <c r="D2523">
        <v>2073050.49</v>
      </c>
      <c r="E2523">
        <v>2069173.52</v>
      </c>
      <c r="F2523">
        <v>2066687.52</v>
      </c>
      <c r="G2523">
        <v>2065837.52</v>
      </c>
      <c r="I2523">
        <v>31440.240000000002</v>
      </c>
      <c r="J2523">
        <v>57456.83</v>
      </c>
      <c r="K2523">
        <v>81597.789999999994</v>
      </c>
      <c r="L2523">
        <v>102098.6</v>
      </c>
    </row>
    <row r="2524" spans="1:12" x14ac:dyDescent="0.2">
      <c r="A2524" t="s">
        <v>66</v>
      </c>
      <c r="B2524" t="s">
        <v>109</v>
      </c>
      <c r="C2524" t="s">
        <v>196</v>
      </c>
      <c r="D2524">
        <v>1629869.15</v>
      </c>
      <c r="E2524">
        <v>1623893.27</v>
      </c>
      <c r="F2524">
        <v>1622423.27</v>
      </c>
      <c r="I2524">
        <v>33814.01</v>
      </c>
      <c r="J2524">
        <v>64444.02</v>
      </c>
      <c r="K2524">
        <v>83128.69</v>
      </c>
    </row>
    <row r="2525" spans="1:12" x14ac:dyDescent="0.2">
      <c r="A2525" t="s">
        <v>66</v>
      </c>
      <c r="B2525" t="s">
        <v>109</v>
      </c>
      <c r="C2525" t="s">
        <v>197</v>
      </c>
      <c r="D2525">
        <v>2320702.67</v>
      </c>
      <c r="E2525">
        <v>2319852.67</v>
      </c>
      <c r="I2525">
        <v>29730.65</v>
      </c>
      <c r="J2525">
        <v>57384.26</v>
      </c>
    </row>
    <row r="2526" spans="1:12" x14ac:dyDescent="0.2">
      <c r="A2526" t="s">
        <v>66</v>
      </c>
      <c r="B2526" t="s">
        <v>109</v>
      </c>
      <c r="C2526" t="s">
        <v>198</v>
      </c>
      <c r="D2526">
        <v>2327200.06</v>
      </c>
      <c r="I2526">
        <v>27858.61</v>
      </c>
    </row>
    <row r="2527" spans="1:12" x14ac:dyDescent="0.2">
      <c r="A2527" t="s">
        <v>66</v>
      </c>
      <c r="B2527" t="s">
        <v>145</v>
      </c>
      <c r="C2527" t="s">
        <v>195</v>
      </c>
      <c r="D2527">
        <v>1090679.29</v>
      </c>
      <c r="E2527">
        <v>1090679.29</v>
      </c>
      <c r="F2527">
        <v>1090879.29</v>
      </c>
      <c r="G2527">
        <v>1090929.29</v>
      </c>
      <c r="I2527">
        <v>0</v>
      </c>
      <c r="J2527">
        <v>175.79</v>
      </c>
      <c r="K2527">
        <v>663.99</v>
      </c>
      <c r="L2527">
        <v>1148.21</v>
      </c>
    </row>
    <row r="2528" spans="1:12" x14ac:dyDescent="0.2">
      <c r="A2528" t="s">
        <v>66</v>
      </c>
      <c r="B2528" t="s">
        <v>145</v>
      </c>
      <c r="C2528" t="s">
        <v>196</v>
      </c>
      <c r="D2528">
        <v>519246.85</v>
      </c>
      <c r="E2528">
        <v>519346.85</v>
      </c>
      <c r="F2528">
        <v>519346.85</v>
      </c>
      <c r="I2528">
        <v>0</v>
      </c>
      <c r="J2528">
        <v>95.54</v>
      </c>
      <c r="K2528">
        <v>601.27</v>
      </c>
    </row>
    <row r="2529" spans="1:12" x14ac:dyDescent="0.2">
      <c r="A2529" t="s">
        <v>66</v>
      </c>
      <c r="B2529" t="s">
        <v>145</v>
      </c>
      <c r="C2529" t="s">
        <v>197</v>
      </c>
      <c r="D2529">
        <v>1098637.3799999999</v>
      </c>
      <c r="E2529">
        <v>1098737.3799999999</v>
      </c>
      <c r="I2529">
        <v>0</v>
      </c>
      <c r="J2529">
        <v>0</v>
      </c>
    </row>
    <row r="2530" spans="1:12" x14ac:dyDescent="0.2">
      <c r="A2530" t="s">
        <v>66</v>
      </c>
      <c r="B2530" t="s">
        <v>145</v>
      </c>
      <c r="C2530" t="s">
        <v>198</v>
      </c>
      <c r="D2530">
        <v>1205680.1200000001</v>
      </c>
      <c r="I2530">
        <v>0</v>
      </c>
    </row>
    <row r="2531" spans="1:12" x14ac:dyDescent="0.2">
      <c r="A2531" t="s">
        <v>66</v>
      </c>
      <c r="B2531" t="s">
        <v>110</v>
      </c>
      <c r="C2531" t="s">
        <v>195</v>
      </c>
      <c r="D2531">
        <v>756457.89</v>
      </c>
      <c r="E2531">
        <v>741062.89</v>
      </c>
      <c r="F2531">
        <v>733241.89</v>
      </c>
      <c r="G2531">
        <v>730956.39</v>
      </c>
      <c r="I2531">
        <v>127831.5</v>
      </c>
      <c r="J2531">
        <v>199191.48</v>
      </c>
      <c r="K2531">
        <v>240767.48</v>
      </c>
      <c r="L2531">
        <v>259420.2</v>
      </c>
    </row>
    <row r="2532" spans="1:12" x14ac:dyDescent="0.2">
      <c r="A2532" t="s">
        <v>66</v>
      </c>
      <c r="B2532" t="s">
        <v>110</v>
      </c>
      <c r="C2532" t="s">
        <v>196</v>
      </c>
      <c r="D2532">
        <v>883804.45</v>
      </c>
      <c r="E2532">
        <v>873396.45</v>
      </c>
      <c r="F2532">
        <v>867676.95</v>
      </c>
      <c r="I2532">
        <v>203285.86</v>
      </c>
      <c r="J2532">
        <v>269523.8</v>
      </c>
      <c r="K2532">
        <v>306314.33</v>
      </c>
    </row>
    <row r="2533" spans="1:12" x14ac:dyDescent="0.2">
      <c r="A2533" t="s">
        <v>66</v>
      </c>
      <c r="B2533" t="s">
        <v>110</v>
      </c>
      <c r="C2533" t="s">
        <v>197</v>
      </c>
      <c r="D2533">
        <v>886539.36</v>
      </c>
      <c r="E2533">
        <v>875848.86</v>
      </c>
      <c r="I2533">
        <v>202199.04000000001</v>
      </c>
      <c r="J2533">
        <v>266906.81</v>
      </c>
    </row>
    <row r="2534" spans="1:12" x14ac:dyDescent="0.2">
      <c r="A2534" t="s">
        <v>66</v>
      </c>
      <c r="B2534" t="s">
        <v>110</v>
      </c>
      <c r="C2534" t="s">
        <v>198</v>
      </c>
      <c r="D2534">
        <v>798829.08</v>
      </c>
      <c r="I2534">
        <v>150325.14000000001</v>
      </c>
    </row>
    <row r="2535" spans="1:12" x14ac:dyDescent="0.2">
      <c r="A2535" t="s">
        <v>66</v>
      </c>
      <c r="B2535" t="s">
        <v>116</v>
      </c>
      <c r="C2535" t="s">
        <v>195</v>
      </c>
      <c r="D2535">
        <v>33325.129999999997</v>
      </c>
      <c r="E2535">
        <v>32109.13</v>
      </c>
      <c r="F2535">
        <v>31959.13</v>
      </c>
      <c r="G2535">
        <v>31929.15</v>
      </c>
      <c r="I2535">
        <v>1441.13</v>
      </c>
      <c r="J2535">
        <v>2019.13</v>
      </c>
      <c r="K2535">
        <v>2119.13</v>
      </c>
      <c r="L2535">
        <v>2109.15</v>
      </c>
    </row>
    <row r="2536" spans="1:12" x14ac:dyDescent="0.2">
      <c r="A2536" t="s">
        <v>66</v>
      </c>
      <c r="B2536" t="s">
        <v>116</v>
      </c>
      <c r="C2536" t="s">
        <v>196</v>
      </c>
      <c r="D2536">
        <v>31023.65</v>
      </c>
      <c r="E2536">
        <v>29973.65</v>
      </c>
      <c r="F2536">
        <v>29473.65</v>
      </c>
      <c r="I2536">
        <v>1956.65</v>
      </c>
      <c r="J2536">
        <v>2479.65</v>
      </c>
      <c r="K2536">
        <v>3263.65</v>
      </c>
    </row>
    <row r="2537" spans="1:12" x14ac:dyDescent="0.2">
      <c r="A2537" t="s">
        <v>66</v>
      </c>
      <c r="B2537" t="s">
        <v>116</v>
      </c>
      <c r="C2537" t="s">
        <v>197</v>
      </c>
      <c r="D2537">
        <v>30562.36</v>
      </c>
      <c r="E2537">
        <v>29087.5</v>
      </c>
      <c r="I2537">
        <v>1695.36</v>
      </c>
      <c r="J2537">
        <v>1908.5</v>
      </c>
    </row>
    <row r="2538" spans="1:12" x14ac:dyDescent="0.2">
      <c r="A2538" t="s">
        <v>66</v>
      </c>
      <c r="B2538" t="s">
        <v>116</v>
      </c>
      <c r="C2538" t="s">
        <v>198</v>
      </c>
      <c r="D2538">
        <v>29261</v>
      </c>
      <c r="I2538">
        <v>812</v>
      </c>
    </row>
    <row r="2539" spans="1:12" x14ac:dyDescent="0.2">
      <c r="A2539" t="s">
        <v>66</v>
      </c>
      <c r="B2539" t="s">
        <v>114</v>
      </c>
      <c r="C2539" t="s">
        <v>195</v>
      </c>
      <c r="D2539">
        <v>743904.54</v>
      </c>
      <c r="E2539">
        <v>625551.85</v>
      </c>
      <c r="F2539">
        <v>592468.88</v>
      </c>
      <c r="G2539">
        <v>577007.38</v>
      </c>
      <c r="I2539">
        <v>210519.71</v>
      </c>
      <c r="J2539">
        <v>306282.65000000002</v>
      </c>
      <c r="K2539">
        <v>352069.53</v>
      </c>
      <c r="L2539">
        <v>370082.43</v>
      </c>
    </row>
    <row r="2540" spans="1:12" x14ac:dyDescent="0.2">
      <c r="A2540" t="s">
        <v>66</v>
      </c>
      <c r="B2540" t="s">
        <v>114</v>
      </c>
      <c r="C2540" t="s">
        <v>196</v>
      </c>
      <c r="D2540">
        <v>734144.56</v>
      </c>
      <c r="E2540">
        <v>591897.21</v>
      </c>
      <c r="F2540">
        <v>553542.62</v>
      </c>
      <c r="I2540">
        <v>183456.58</v>
      </c>
      <c r="J2540">
        <v>271887.27</v>
      </c>
      <c r="K2540">
        <v>313633.43</v>
      </c>
    </row>
    <row r="2541" spans="1:12" x14ac:dyDescent="0.2">
      <c r="A2541" t="s">
        <v>66</v>
      </c>
      <c r="B2541" t="s">
        <v>114</v>
      </c>
      <c r="C2541" t="s">
        <v>197</v>
      </c>
      <c r="D2541">
        <v>725407.72</v>
      </c>
      <c r="E2541">
        <v>588940.88</v>
      </c>
      <c r="I2541">
        <v>170851.61</v>
      </c>
      <c r="J2541">
        <v>250664.59</v>
      </c>
    </row>
    <row r="2542" spans="1:12" x14ac:dyDescent="0.2">
      <c r="A2542" t="s">
        <v>66</v>
      </c>
      <c r="B2542" t="s">
        <v>114</v>
      </c>
      <c r="C2542" t="s">
        <v>198</v>
      </c>
      <c r="D2542">
        <v>597801.25</v>
      </c>
      <c r="I2542">
        <v>146089.07999999999</v>
      </c>
    </row>
    <row r="2543" spans="1:12" x14ac:dyDescent="0.2">
      <c r="A2543" t="s">
        <v>66</v>
      </c>
      <c r="B2543" t="s">
        <v>111</v>
      </c>
      <c r="C2543" t="s">
        <v>195</v>
      </c>
      <c r="D2543">
        <v>645090.9</v>
      </c>
      <c r="E2543">
        <v>642228.9</v>
      </c>
      <c r="F2543">
        <v>636426.4</v>
      </c>
      <c r="G2543">
        <v>634504.4</v>
      </c>
      <c r="I2543">
        <v>572029.15</v>
      </c>
      <c r="J2543">
        <v>631735.15</v>
      </c>
      <c r="K2543">
        <v>631180.15</v>
      </c>
      <c r="L2543">
        <v>629706.65</v>
      </c>
    </row>
    <row r="2544" spans="1:12" x14ac:dyDescent="0.2">
      <c r="A2544" t="s">
        <v>66</v>
      </c>
      <c r="B2544" t="s">
        <v>111</v>
      </c>
      <c r="C2544" t="s">
        <v>196</v>
      </c>
      <c r="D2544">
        <v>1034045.52</v>
      </c>
      <c r="E2544">
        <v>1024320.52</v>
      </c>
      <c r="F2544">
        <v>1023685.22</v>
      </c>
      <c r="I2544">
        <v>974097.72</v>
      </c>
      <c r="J2544">
        <v>1015485.52</v>
      </c>
      <c r="K2544">
        <v>1015801.22</v>
      </c>
    </row>
    <row r="2545" spans="1:12" x14ac:dyDescent="0.2">
      <c r="A2545" t="s">
        <v>66</v>
      </c>
      <c r="B2545" t="s">
        <v>111</v>
      </c>
      <c r="C2545" t="s">
        <v>197</v>
      </c>
      <c r="D2545">
        <v>1033737.02</v>
      </c>
      <c r="E2545">
        <v>1031300.52</v>
      </c>
      <c r="I2545">
        <v>939362.46</v>
      </c>
      <c r="J2545">
        <v>1022902.02</v>
      </c>
    </row>
    <row r="2546" spans="1:12" x14ac:dyDescent="0.2">
      <c r="A2546" t="s">
        <v>66</v>
      </c>
      <c r="B2546" t="s">
        <v>111</v>
      </c>
      <c r="C2546" t="s">
        <v>198</v>
      </c>
      <c r="D2546">
        <v>830238.08</v>
      </c>
      <c r="I2546">
        <v>781381.08</v>
      </c>
    </row>
    <row r="2547" spans="1:12" x14ac:dyDescent="0.2">
      <c r="A2547" t="s">
        <v>66</v>
      </c>
      <c r="B2547" t="s">
        <v>112</v>
      </c>
      <c r="C2547" t="s">
        <v>195</v>
      </c>
      <c r="D2547">
        <v>545346.68999999994</v>
      </c>
      <c r="E2547">
        <v>544324.18999999994</v>
      </c>
      <c r="F2547">
        <v>540845.54</v>
      </c>
      <c r="G2547">
        <v>543944.97</v>
      </c>
      <c r="I2547">
        <v>491249.18</v>
      </c>
      <c r="J2547">
        <v>539074.32999999996</v>
      </c>
      <c r="K2547">
        <v>538859.32999999996</v>
      </c>
      <c r="L2547">
        <v>542253.76</v>
      </c>
    </row>
    <row r="2548" spans="1:12" x14ac:dyDescent="0.2">
      <c r="A2548" t="s">
        <v>66</v>
      </c>
      <c r="B2548" t="s">
        <v>112</v>
      </c>
      <c r="C2548" t="s">
        <v>196</v>
      </c>
      <c r="D2548">
        <v>605282.4</v>
      </c>
      <c r="E2548">
        <v>604622.4</v>
      </c>
      <c r="F2548">
        <v>606501.71</v>
      </c>
      <c r="I2548">
        <v>567535.30000000005</v>
      </c>
      <c r="J2548">
        <v>598571.6</v>
      </c>
      <c r="K2548">
        <v>600785.91</v>
      </c>
    </row>
    <row r="2549" spans="1:12" x14ac:dyDescent="0.2">
      <c r="A2549" t="s">
        <v>66</v>
      </c>
      <c r="B2549" t="s">
        <v>112</v>
      </c>
      <c r="C2549" t="s">
        <v>197</v>
      </c>
      <c r="D2549">
        <v>766417.87</v>
      </c>
      <c r="E2549">
        <v>768889.67</v>
      </c>
      <c r="I2549">
        <v>713220.37</v>
      </c>
      <c r="J2549">
        <v>763232.17</v>
      </c>
    </row>
    <row r="2550" spans="1:12" x14ac:dyDescent="0.2">
      <c r="A2550" t="s">
        <v>66</v>
      </c>
      <c r="B2550" t="s">
        <v>112</v>
      </c>
      <c r="C2550" t="s">
        <v>198</v>
      </c>
      <c r="D2550">
        <v>703748.86</v>
      </c>
      <c r="I2550">
        <v>641128.27</v>
      </c>
    </row>
    <row r="2551" spans="1:12" x14ac:dyDescent="0.2">
      <c r="A2551" t="s">
        <v>66</v>
      </c>
      <c r="B2551" t="s">
        <v>115</v>
      </c>
      <c r="C2551" t="s">
        <v>195</v>
      </c>
      <c r="D2551">
        <v>1619444</v>
      </c>
      <c r="E2551">
        <v>1317798.3999999999</v>
      </c>
      <c r="F2551">
        <v>1305340.3999999999</v>
      </c>
      <c r="G2551">
        <v>1303874.3999999999</v>
      </c>
      <c r="I2551">
        <v>733597.53</v>
      </c>
      <c r="J2551">
        <v>1082409.6499999999</v>
      </c>
      <c r="K2551">
        <v>1168485.57</v>
      </c>
      <c r="L2551">
        <v>1193902.48</v>
      </c>
    </row>
    <row r="2552" spans="1:12" x14ac:dyDescent="0.2">
      <c r="A2552" t="s">
        <v>66</v>
      </c>
      <c r="B2552" t="s">
        <v>115</v>
      </c>
      <c r="C2552" t="s">
        <v>196</v>
      </c>
      <c r="D2552">
        <v>2292737.75</v>
      </c>
      <c r="E2552">
        <v>1860077.9</v>
      </c>
      <c r="F2552">
        <v>1843869.4</v>
      </c>
      <c r="I2552">
        <v>1093956</v>
      </c>
      <c r="J2552">
        <v>1548261.4</v>
      </c>
      <c r="K2552">
        <v>1671907.55</v>
      </c>
    </row>
    <row r="2553" spans="1:12" x14ac:dyDescent="0.2">
      <c r="A2553" t="s">
        <v>66</v>
      </c>
      <c r="B2553" t="s">
        <v>115</v>
      </c>
      <c r="C2553" t="s">
        <v>197</v>
      </c>
      <c r="D2553">
        <v>2044500.5</v>
      </c>
      <c r="E2553">
        <v>1689713.25</v>
      </c>
      <c r="I2553">
        <v>962293.76000000001</v>
      </c>
      <c r="J2553">
        <v>1332224.3999999999</v>
      </c>
    </row>
    <row r="2554" spans="1:12" x14ac:dyDescent="0.2">
      <c r="A2554" t="s">
        <v>66</v>
      </c>
      <c r="B2554" t="s">
        <v>115</v>
      </c>
      <c r="C2554" t="s">
        <v>198</v>
      </c>
      <c r="D2554">
        <v>1652385</v>
      </c>
      <c r="I2554">
        <v>799230.75</v>
      </c>
    </row>
    <row r="2555" spans="1:12" x14ac:dyDescent="0.2">
      <c r="A2555" t="s">
        <v>66</v>
      </c>
      <c r="B2555" t="s">
        <v>113</v>
      </c>
      <c r="C2555" t="s">
        <v>195</v>
      </c>
      <c r="D2555">
        <v>218549.94</v>
      </c>
      <c r="E2555">
        <v>217438.94</v>
      </c>
      <c r="F2555">
        <v>216643.94</v>
      </c>
      <c r="G2555">
        <v>216300.38</v>
      </c>
      <c r="I2555">
        <v>198957.94</v>
      </c>
      <c r="J2555">
        <v>216838.94</v>
      </c>
      <c r="K2555">
        <v>216493.94</v>
      </c>
      <c r="L2555">
        <v>216150.38</v>
      </c>
    </row>
    <row r="2556" spans="1:12" x14ac:dyDescent="0.2">
      <c r="A2556" t="s">
        <v>66</v>
      </c>
      <c r="B2556" t="s">
        <v>113</v>
      </c>
      <c r="C2556" t="s">
        <v>196</v>
      </c>
      <c r="D2556">
        <v>248896.78</v>
      </c>
      <c r="E2556">
        <v>247029.78</v>
      </c>
      <c r="F2556">
        <v>246794.78</v>
      </c>
      <c r="I2556">
        <v>227814.75</v>
      </c>
      <c r="J2556">
        <v>244964.75</v>
      </c>
      <c r="K2556">
        <v>244899.75</v>
      </c>
    </row>
    <row r="2557" spans="1:12" x14ac:dyDescent="0.2">
      <c r="A2557" t="s">
        <v>66</v>
      </c>
      <c r="B2557" t="s">
        <v>113</v>
      </c>
      <c r="C2557" t="s">
        <v>197</v>
      </c>
      <c r="D2557">
        <v>259806.61</v>
      </c>
      <c r="E2557">
        <v>258056.61</v>
      </c>
      <c r="I2557">
        <v>235551.44</v>
      </c>
      <c r="J2557">
        <v>255949.44</v>
      </c>
    </row>
    <row r="2558" spans="1:12" x14ac:dyDescent="0.2">
      <c r="A2558" t="s">
        <v>66</v>
      </c>
      <c r="B2558" t="s">
        <v>113</v>
      </c>
      <c r="C2558" t="s">
        <v>198</v>
      </c>
      <c r="D2558">
        <v>228067.05</v>
      </c>
      <c r="I2558">
        <v>210193.05</v>
      </c>
    </row>
    <row r="2559" spans="1:12" x14ac:dyDescent="0.2">
      <c r="A2559" t="s">
        <v>66</v>
      </c>
      <c r="B2559" t="s">
        <v>72</v>
      </c>
      <c r="C2559" t="s">
        <v>195</v>
      </c>
      <c r="D2559">
        <v>216291.9</v>
      </c>
      <c r="E2559">
        <v>213171.9</v>
      </c>
      <c r="F2559">
        <v>213171.9</v>
      </c>
      <c r="G2559">
        <v>213121.9</v>
      </c>
      <c r="I2559">
        <v>194388.05</v>
      </c>
      <c r="J2559">
        <v>205604.55</v>
      </c>
      <c r="K2559">
        <v>206104.55</v>
      </c>
      <c r="L2559">
        <v>206246.05</v>
      </c>
    </row>
    <row r="2560" spans="1:12" x14ac:dyDescent="0.2">
      <c r="A2560" t="s">
        <v>66</v>
      </c>
      <c r="B2560" t="s">
        <v>72</v>
      </c>
      <c r="C2560" t="s">
        <v>196</v>
      </c>
      <c r="D2560">
        <v>268517.5</v>
      </c>
      <c r="E2560">
        <v>265661</v>
      </c>
      <c r="F2560">
        <v>265377.45</v>
      </c>
      <c r="I2560">
        <v>242224.88</v>
      </c>
      <c r="J2560">
        <v>252824.02</v>
      </c>
      <c r="K2560">
        <v>253059.88</v>
      </c>
    </row>
    <row r="2561" spans="1:12" x14ac:dyDescent="0.2">
      <c r="A2561" t="s">
        <v>66</v>
      </c>
      <c r="B2561" t="s">
        <v>72</v>
      </c>
      <c r="C2561" t="s">
        <v>197</v>
      </c>
      <c r="D2561">
        <v>258687.65</v>
      </c>
      <c r="E2561">
        <v>256279.8</v>
      </c>
      <c r="I2561">
        <v>235495.3</v>
      </c>
      <c r="J2561">
        <v>246441.95</v>
      </c>
    </row>
    <row r="2562" spans="1:12" x14ac:dyDescent="0.2">
      <c r="A2562" t="s">
        <v>66</v>
      </c>
      <c r="B2562" t="s">
        <v>72</v>
      </c>
      <c r="C2562" t="s">
        <v>198</v>
      </c>
      <c r="D2562">
        <v>233971.6</v>
      </c>
      <c r="I2562">
        <v>202670.1</v>
      </c>
    </row>
    <row r="2563" spans="1:12" x14ac:dyDescent="0.2">
      <c r="A2563" t="s">
        <v>67</v>
      </c>
      <c r="B2563" t="s">
        <v>109</v>
      </c>
      <c r="C2563" t="s">
        <v>195</v>
      </c>
      <c r="D2563">
        <v>106477.5</v>
      </c>
      <c r="E2563">
        <v>106377.5</v>
      </c>
      <c r="F2563">
        <v>106377.5</v>
      </c>
      <c r="G2563">
        <v>100982.5</v>
      </c>
      <c r="I2563">
        <v>998.5</v>
      </c>
      <c r="J2563">
        <v>5310.5</v>
      </c>
      <c r="K2563">
        <v>8845.5</v>
      </c>
      <c r="L2563">
        <v>14190.5</v>
      </c>
    </row>
    <row r="2564" spans="1:12" x14ac:dyDescent="0.2">
      <c r="A2564" t="s">
        <v>67</v>
      </c>
      <c r="B2564" t="s">
        <v>109</v>
      </c>
      <c r="C2564" t="s">
        <v>196</v>
      </c>
      <c r="D2564">
        <v>112973.5</v>
      </c>
      <c r="E2564">
        <v>112723.5</v>
      </c>
      <c r="F2564">
        <v>112723.5</v>
      </c>
      <c r="I2564">
        <v>1475.5</v>
      </c>
      <c r="J2564">
        <v>4585.5</v>
      </c>
      <c r="K2564">
        <v>7245.5</v>
      </c>
    </row>
    <row r="2565" spans="1:12" x14ac:dyDescent="0.2">
      <c r="A2565" t="s">
        <v>67</v>
      </c>
      <c r="B2565" t="s">
        <v>109</v>
      </c>
      <c r="C2565" t="s">
        <v>197</v>
      </c>
      <c r="D2565">
        <v>81475.5</v>
      </c>
      <c r="E2565">
        <v>81475.5</v>
      </c>
      <c r="I2565">
        <v>2494.5</v>
      </c>
      <c r="J2565">
        <v>4239.5</v>
      </c>
    </row>
    <row r="2566" spans="1:12" x14ac:dyDescent="0.2">
      <c r="A2566" t="s">
        <v>67</v>
      </c>
      <c r="B2566" t="s">
        <v>109</v>
      </c>
      <c r="C2566" t="s">
        <v>198</v>
      </c>
      <c r="D2566">
        <v>73540</v>
      </c>
      <c r="I2566">
        <v>2308</v>
      </c>
    </row>
    <row r="2567" spans="1:12" x14ac:dyDescent="0.2">
      <c r="A2567" t="s">
        <v>67</v>
      </c>
      <c r="B2567" t="s">
        <v>145</v>
      </c>
      <c r="C2567" t="s">
        <v>195</v>
      </c>
      <c r="D2567">
        <v>0</v>
      </c>
      <c r="E2567">
        <v>0</v>
      </c>
      <c r="F2567">
        <v>0</v>
      </c>
      <c r="G2567">
        <v>0</v>
      </c>
      <c r="I2567">
        <v>0</v>
      </c>
      <c r="J2567">
        <v>0</v>
      </c>
      <c r="K2567">
        <v>0</v>
      </c>
      <c r="L2567">
        <v>0</v>
      </c>
    </row>
    <row r="2568" spans="1:12" x14ac:dyDescent="0.2">
      <c r="A2568" t="s">
        <v>67</v>
      </c>
      <c r="B2568" t="s">
        <v>145</v>
      </c>
      <c r="C2568" t="s">
        <v>196</v>
      </c>
      <c r="D2568">
        <v>7</v>
      </c>
      <c r="E2568">
        <v>7</v>
      </c>
      <c r="F2568">
        <v>7</v>
      </c>
      <c r="I2568">
        <v>7</v>
      </c>
      <c r="J2568">
        <v>7</v>
      </c>
      <c r="K2568">
        <v>7</v>
      </c>
    </row>
    <row r="2569" spans="1:12" x14ac:dyDescent="0.2">
      <c r="A2569" t="s">
        <v>67</v>
      </c>
      <c r="B2569" t="s">
        <v>145</v>
      </c>
      <c r="C2569" t="s">
        <v>197</v>
      </c>
      <c r="D2569">
        <v>250</v>
      </c>
      <c r="E2569">
        <v>250</v>
      </c>
      <c r="I2569">
        <v>0</v>
      </c>
      <c r="J2569">
        <v>0</v>
      </c>
    </row>
    <row r="2570" spans="1:12" x14ac:dyDescent="0.2">
      <c r="A2570" t="s">
        <v>67</v>
      </c>
      <c r="B2570" t="s">
        <v>145</v>
      </c>
      <c r="C2570" t="s">
        <v>198</v>
      </c>
      <c r="D2570">
        <v>100</v>
      </c>
      <c r="I2570">
        <v>0</v>
      </c>
    </row>
    <row r="2571" spans="1:12" x14ac:dyDescent="0.2">
      <c r="A2571" t="s">
        <v>67</v>
      </c>
      <c r="B2571" t="s">
        <v>110</v>
      </c>
      <c r="C2571" t="s">
        <v>195</v>
      </c>
      <c r="D2571">
        <v>18601.849999999999</v>
      </c>
      <c r="E2571">
        <v>17964.36</v>
      </c>
      <c r="F2571">
        <v>17964.36</v>
      </c>
      <c r="G2571">
        <v>17964.36</v>
      </c>
      <c r="I2571">
        <v>3481.53</v>
      </c>
      <c r="J2571">
        <v>7516.85</v>
      </c>
      <c r="K2571">
        <v>8595.9599999999991</v>
      </c>
      <c r="L2571">
        <v>9096.9599999999991</v>
      </c>
    </row>
    <row r="2572" spans="1:12" x14ac:dyDescent="0.2">
      <c r="A2572" t="s">
        <v>67</v>
      </c>
      <c r="B2572" t="s">
        <v>110</v>
      </c>
      <c r="C2572" t="s">
        <v>196</v>
      </c>
      <c r="D2572">
        <v>25856.880000000001</v>
      </c>
      <c r="E2572">
        <v>18926.88</v>
      </c>
      <c r="F2572">
        <v>18664.88</v>
      </c>
      <c r="I2572">
        <v>4621.5</v>
      </c>
      <c r="J2572">
        <v>8362.2900000000009</v>
      </c>
      <c r="K2572">
        <v>9340.09</v>
      </c>
    </row>
    <row r="2573" spans="1:12" x14ac:dyDescent="0.2">
      <c r="A2573" t="s">
        <v>67</v>
      </c>
      <c r="B2573" t="s">
        <v>110</v>
      </c>
      <c r="C2573" t="s">
        <v>197</v>
      </c>
      <c r="D2573">
        <v>32736.400000000001</v>
      </c>
      <c r="E2573">
        <v>33240.400000000001</v>
      </c>
      <c r="I2573">
        <v>5517.4</v>
      </c>
      <c r="J2573">
        <v>10049.4</v>
      </c>
    </row>
    <row r="2574" spans="1:12" x14ac:dyDescent="0.2">
      <c r="A2574" t="s">
        <v>67</v>
      </c>
      <c r="B2574" t="s">
        <v>110</v>
      </c>
      <c r="C2574" t="s">
        <v>198</v>
      </c>
      <c r="D2574">
        <v>30101.599999999999</v>
      </c>
      <c r="I2574">
        <v>6516.92</v>
      </c>
    </row>
    <row r="2575" spans="1:12" x14ac:dyDescent="0.2">
      <c r="A2575" t="s">
        <v>67</v>
      </c>
      <c r="B2575" t="s">
        <v>116</v>
      </c>
      <c r="C2575" t="s">
        <v>195</v>
      </c>
      <c r="D2575">
        <v>1301</v>
      </c>
      <c r="E2575">
        <v>1301</v>
      </c>
      <c r="F2575">
        <v>1301</v>
      </c>
      <c r="G2575">
        <v>850</v>
      </c>
      <c r="I2575">
        <v>150</v>
      </c>
      <c r="J2575">
        <v>355</v>
      </c>
      <c r="K2575">
        <v>455</v>
      </c>
      <c r="L2575">
        <v>585</v>
      </c>
    </row>
    <row r="2576" spans="1:12" x14ac:dyDescent="0.2">
      <c r="A2576" t="s">
        <v>67</v>
      </c>
      <c r="B2576" t="s">
        <v>116</v>
      </c>
      <c r="C2576" t="s">
        <v>196</v>
      </c>
      <c r="D2576">
        <v>2100</v>
      </c>
      <c r="E2576">
        <v>1635.05</v>
      </c>
      <c r="F2576">
        <v>1635.05</v>
      </c>
      <c r="I2576">
        <v>811.6</v>
      </c>
      <c r="J2576">
        <v>885.05</v>
      </c>
      <c r="K2576">
        <v>935.05</v>
      </c>
    </row>
    <row r="2577" spans="1:12" x14ac:dyDescent="0.2">
      <c r="A2577" t="s">
        <v>67</v>
      </c>
      <c r="B2577" t="s">
        <v>116</v>
      </c>
      <c r="C2577" t="s">
        <v>197</v>
      </c>
      <c r="D2577">
        <v>5359.2</v>
      </c>
      <c r="E2577">
        <v>5259.2</v>
      </c>
      <c r="I2577">
        <v>120</v>
      </c>
      <c r="J2577">
        <v>185</v>
      </c>
    </row>
    <row r="2578" spans="1:12" x14ac:dyDescent="0.2">
      <c r="A2578" t="s">
        <v>67</v>
      </c>
      <c r="B2578" t="s">
        <v>116</v>
      </c>
      <c r="C2578" t="s">
        <v>198</v>
      </c>
      <c r="D2578">
        <v>4991</v>
      </c>
      <c r="I2578">
        <v>0</v>
      </c>
    </row>
    <row r="2579" spans="1:12" x14ac:dyDescent="0.2">
      <c r="A2579" t="s">
        <v>67</v>
      </c>
      <c r="B2579" t="s">
        <v>114</v>
      </c>
      <c r="C2579" t="s">
        <v>195</v>
      </c>
      <c r="D2579">
        <v>28020</v>
      </c>
      <c r="E2579">
        <v>27920</v>
      </c>
      <c r="F2579">
        <v>27920</v>
      </c>
      <c r="G2579">
        <v>27920</v>
      </c>
      <c r="I2579">
        <v>4568.5</v>
      </c>
      <c r="J2579">
        <v>7864.5</v>
      </c>
      <c r="K2579">
        <v>8783.5</v>
      </c>
      <c r="L2579">
        <v>9188.5</v>
      </c>
    </row>
    <row r="2580" spans="1:12" x14ac:dyDescent="0.2">
      <c r="A2580" t="s">
        <v>67</v>
      </c>
      <c r="B2580" t="s">
        <v>114</v>
      </c>
      <c r="C2580" t="s">
        <v>196</v>
      </c>
      <c r="D2580">
        <v>26286</v>
      </c>
      <c r="E2580">
        <v>26099.71</v>
      </c>
      <c r="F2580">
        <v>26099.71</v>
      </c>
      <c r="I2580">
        <v>7014.5</v>
      </c>
      <c r="J2580">
        <v>9042.5</v>
      </c>
      <c r="K2580">
        <v>10985.5</v>
      </c>
    </row>
    <row r="2581" spans="1:12" x14ac:dyDescent="0.2">
      <c r="A2581" t="s">
        <v>67</v>
      </c>
      <c r="B2581" t="s">
        <v>114</v>
      </c>
      <c r="C2581" t="s">
        <v>197</v>
      </c>
      <c r="D2581">
        <v>26254.95</v>
      </c>
      <c r="E2581">
        <v>26204.95</v>
      </c>
      <c r="I2581">
        <v>4157.5</v>
      </c>
      <c r="J2581">
        <v>6562.5</v>
      </c>
    </row>
    <row r="2582" spans="1:12" x14ac:dyDescent="0.2">
      <c r="A2582" t="s">
        <v>67</v>
      </c>
      <c r="B2582" t="s">
        <v>114</v>
      </c>
      <c r="C2582" t="s">
        <v>198</v>
      </c>
      <c r="D2582">
        <v>23471.5</v>
      </c>
      <c r="I2582">
        <v>5404</v>
      </c>
    </row>
    <row r="2583" spans="1:12" x14ac:dyDescent="0.2">
      <c r="A2583" t="s">
        <v>67</v>
      </c>
      <c r="B2583" t="s">
        <v>111</v>
      </c>
      <c r="C2583" t="s">
        <v>195</v>
      </c>
      <c r="D2583">
        <v>19512</v>
      </c>
      <c r="E2583">
        <v>19512</v>
      </c>
      <c r="F2583">
        <v>19512</v>
      </c>
      <c r="G2583">
        <v>19512</v>
      </c>
      <c r="I2583">
        <v>19512</v>
      </c>
      <c r="J2583">
        <v>19512</v>
      </c>
      <c r="K2583">
        <v>19512</v>
      </c>
      <c r="L2583">
        <v>19512</v>
      </c>
    </row>
    <row r="2584" spans="1:12" x14ac:dyDescent="0.2">
      <c r="A2584" t="s">
        <v>67</v>
      </c>
      <c r="B2584" t="s">
        <v>111</v>
      </c>
      <c r="C2584" t="s">
        <v>196</v>
      </c>
      <c r="D2584">
        <v>41159.879999999997</v>
      </c>
      <c r="E2584">
        <v>41159.879999999997</v>
      </c>
      <c r="F2584">
        <v>41159.879999999997</v>
      </c>
      <c r="I2584">
        <v>40349.879999999997</v>
      </c>
      <c r="J2584">
        <v>40759.879999999997</v>
      </c>
      <c r="K2584">
        <v>40759.879999999997</v>
      </c>
    </row>
    <row r="2585" spans="1:12" x14ac:dyDescent="0.2">
      <c r="A2585" t="s">
        <v>67</v>
      </c>
      <c r="B2585" t="s">
        <v>111</v>
      </c>
      <c r="C2585" t="s">
        <v>197</v>
      </c>
      <c r="D2585">
        <v>26876.99</v>
      </c>
      <c r="E2585">
        <v>26476.99</v>
      </c>
      <c r="I2585">
        <v>26476.99</v>
      </c>
      <c r="J2585">
        <v>26476.99</v>
      </c>
    </row>
    <row r="2586" spans="1:12" x14ac:dyDescent="0.2">
      <c r="A2586" t="s">
        <v>67</v>
      </c>
      <c r="B2586" t="s">
        <v>111</v>
      </c>
      <c r="C2586" t="s">
        <v>198</v>
      </c>
      <c r="D2586">
        <v>30069</v>
      </c>
      <c r="I2586">
        <v>26806</v>
      </c>
    </row>
    <row r="2587" spans="1:12" x14ac:dyDescent="0.2">
      <c r="A2587" t="s">
        <v>67</v>
      </c>
      <c r="B2587" t="s">
        <v>112</v>
      </c>
      <c r="C2587" t="s">
        <v>195</v>
      </c>
      <c r="D2587">
        <v>21917</v>
      </c>
      <c r="E2587">
        <v>21917</v>
      </c>
      <c r="F2587">
        <v>21917</v>
      </c>
      <c r="G2587">
        <v>21917</v>
      </c>
      <c r="I2587">
        <v>21917</v>
      </c>
      <c r="J2587">
        <v>21917</v>
      </c>
      <c r="K2587">
        <v>21917</v>
      </c>
      <c r="L2587">
        <v>21917</v>
      </c>
    </row>
    <row r="2588" spans="1:12" x14ac:dyDescent="0.2">
      <c r="A2588" t="s">
        <v>67</v>
      </c>
      <c r="B2588" t="s">
        <v>112</v>
      </c>
      <c r="C2588" t="s">
        <v>196</v>
      </c>
      <c r="D2588">
        <v>23248.05</v>
      </c>
      <c r="E2588">
        <v>23248.05</v>
      </c>
      <c r="F2588">
        <v>23248.05</v>
      </c>
      <c r="I2588">
        <v>22424.05</v>
      </c>
      <c r="J2588">
        <v>22936.05</v>
      </c>
      <c r="K2588">
        <v>22936.05</v>
      </c>
    </row>
    <row r="2589" spans="1:12" x14ac:dyDescent="0.2">
      <c r="A2589" t="s">
        <v>67</v>
      </c>
      <c r="B2589" t="s">
        <v>112</v>
      </c>
      <c r="C2589" t="s">
        <v>197</v>
      </c>
      <c r="D2589">
        <v>24870.5</v>
      </c>
      <c r="E2589">
        <v>24955.5</v>
      </c>
      <c r="I2589">
        <v>23640.5</v>
      </c>
      <c r="J2589">
        <v>24570.5</v>
      </c>
    </row>
    <row r="2590" spans="1:12" x14ac:dyDescent="0.2">
      <c r="A2590" t="s">
        <v>67</v>
      </c>
      <c r="B2590" t="s">
        <v>112</v>
      </c>
      <c r="C2590" t="s">
        <v>198</v>
      </c>
      <c r="D2590">
        <v>19835.25</v>
      </c>
      <c r="I2590">
        <v>18970.25</v>
      </c>
    </row>
    <row r="2591" spans="1:12" x14ac:dyDescent="0.2">
      <c r="A2591" t="s">
        <v>67</v>
      </c>
      <c r="B2591" t="s">
        <v>115</v>
      </c>
      <c r="C2591" t="s">
        <v>195</v>
      </c>
      <c r="D2591">
        <v>129474</v>
      </c>
      <c r="E2591">
        <v>125079</v>
      </c>
      <c r="F2591">
        <v>124911</v>
      </c>
      <c r="G2591">
        <v>124888</v>
      </c>
      <c r="I2591">
        <v>75150.5</v>
      </c>
      <c r="J2591">
        <v>113222.5</v>
      </c>
      <c r="K2591">
        <v>115211.5</v>
      </c>
      <c r="L2591">
        <v>116107.5</v>
      </c>
    </row>
    <row r="2592" spans="1:12" x14ac:dyDescent="0.2">
      <c r="A2592" t="s">
        <v>67</v>
      </c>
      <c r="B2592" t="s">
        <v>115</v>
      </c>
      <c r="C2592" t="s">
        <v>196</v>
      </c>
      <c r="D2592">
        <v>160999.25</v>
      </c>
      <c r="E2592">
        <v>158629.25</v>
      </c>
      <c r="F2592">
        <v>158464.25</v>
      </c>
      <c r="I2592">
        <v>88520</v>
      </c>
      <c r="J2592">
        <v>127132.5</v>
      </c>
      <c r="K2592">
        <v>128897.5</v>
      </c>
    </row>
    <row r="2593" spans="1:12" x14ac:dyDescent="0.2">
      <c r="A2593" t="s">
        <v>67</v>
      </c>
      <c r="B2593" t="s">
        <v>115</v>
      </c>
      <c r="C2593" t="s">
        <v>197</v>
      </c>
      <c r="D2593">
        <v>167969.4</v>
      </c>
      <c r="E2593">
        <v>159623.29999999999</v>
      </c>
      <c r="I2593">
        <v>90458.9</v>
      </c>
      <c r="J2593">
        <v>127344.55</v>
      </c>
    </row>
    <row r="2594" spans="1:12" x14ac:dyDescent="0.2">
      <c r="A2594" t="s">
        <v>67</v>
      </c>
      <c r="B2594" t="s">
        <v>115</v>
      </c>
      <c r="C2594" t="s">
        <v>198</v>
      </c>
      <c r="D2594">
        <v>127473.2</v>
      </c>
      <c r="I2594">
        <v>75587.95</v>
      </c>
    </row>
    <row r="2595" spans="1:12" x14ac:dyDescent="0.2">
      <c r="A2595" t="s">
        <v>67</v>
      </c>
      <c r="B2595" t="s">
        <v>113</v>
      </c>
      <c r="C2595" t="s">
        <v>195</v>
      </c>
      <c r="D2595">
        <v>8685</v>
      </c>
      <c r="E2595">
        <v>8685</v>
      </c>
      <c r="F2595">
        <v>8685</v>
      </c>
      <c r="G2595">
        <v>8685</v>
      </c>
      <c r="I2595">
        <v>8285</v>
      </c>
      <c r="J2595">
        <v>8285</v>
      </c>
      <c r="K2595">
        <v>8285</v>
      </c>
      <c r="L2595">
        <v>8285</v>
      </c>
    </row>
    <row r="2596" spans="1:12" x14ac:dyDescent="0.2">
      <c r="A2596" t="s">
        <v>67</v>
      </c>
      <c r="B2596" t="s">
        <v>113</v>
      </c>
      <c r="C2596" t="s">
        <v>196</v>
      </c>
      <c r="D2596">
        <v>8176</v>
      </c>
      <c r="E2596">
        <v>8176</v>
      </c>
      <c r="F2596">
        <v>8176</v>
      </c>
      <c r="I2596">
        <v>8176</v>
      </c>
      <c r="J2596">
        <v>8176</v>
      </c>
      <c r="K2596">
        <v>8176</v>
      </c>
    </row>
    <row r="2597" spans="1:12" x14ac:dyDescent="0.2">
      <c r="A2597" t="s">
        <v>67</v>
      </c>
      <c r="B2597" t="s">
        <v>113</v>
      </c>
      <c r="C2597" t="s">
        <v>197</v>
      </c>
      <c r="D2597">
        <v>9721</v>
      </c>
      <c r="E2597">
        <v>9721</v>
      </c>
      <c r="I2597">
        <v>9259</v>
      </c>
      <c r="J2597">
        <v>9259</v>
      </c>
    </row>
    <row r="2598" spans="1:12" x14ac:dyDescent="0.2">
      <c r="A2598" t="s">
        <v>67</v>
      </c>
      <c r="B2598" t="s">
        <v>113</v>
      </c>
      <c r="C2598" t="s">
        <v>198</v>
      </c>
      <c r="D2598">
        <v>7909</v>
      </c>
      <c r="I2598">
        <v>7447</v>
      </c>
    </row>
    <row r="2599" spans="1:12" x14ac:dyDescent="0.2">
      <c r="A2599" t="s">
        <v>67</v>
      </c>
      <c r="B2599" t="s">
        <v>72</v>
      </c>
      <c r="C2599" t="s">
        <v>195</v>
      </c>
      <c r="D2599">
        <v>13532</v>
      </c>
      <c r="E2599">
        <v>13532</v>
      </c>
      <c r="F2599">
        <v>13532</v>
      </c>
      <c r="G2599">
        <v>13532</v>
      </c>
      <c r="I2599">
        <v>10155</v>
      </c>
      <c r="J2599">
        <v>10673</v>
      </c>
      <c r="K2599">
        <v>10673</v>
      </c>
      <c r="L2599">
        <v>10673</v>
      </c>
    </row>
    <row r="2600" spans="1:12" x14ac:dyDescent="0.2">
      <c r="A2600" t="s">
        <v>67</v>
      </c>
      <c r="B2600" t="s">
        <v>72</v>
      </c>
      <c r="C2600" t="s">
        <v>196</v>
      </c>
      <c r="D2600">
        <v>18638</v>
      </c>
      <c r="E2600">
        <v>18638</v>
      </c>
      <c r="F2600">
        <v>19038</v>
      </c>
      <c r="I2600">
        <v>16363</v>
      </c>
      <c r="J2600">
        <v>16363</v>
      </c>
      <c r="K2600">
        <v>16363</v>
      </c>
    </row>
    <row r="2601" spans="1:12" x14ac:dyDescent="0.2">
      <c r="A2601" t="s">
        <v>67</v>
      </c>
      <c r="B2601" t="s">
        <v>72</v>
      </c>
      <c r="C2601" t="s">
        <v>197</v>
      </c>
      <c r="D2601">
        <v>17247.5</v>
      </c>
      <c r="E2601">
        <v>16839.5</v>
      </c>
      <c r="I2601">
        <v>14881.5</v>
      </c>
      <c r="J2601">
        <v>15289.5</v>
      </c>
    </row>
    <row r="2602" spans="1:12" x14ac:dyDescent="0.2">
      <c r="A2602" t="s">
        <v>67</v>
      </c>
      <c r="B2602" t="s">
        <v>72</v>
      </c>
      <c r="C2602" t="s">
        <v>198</v>
      </c>
      <c r="D2602">
        <v>16288</v>
      </c>
      <c r="I2602">
        <v>13646</v>
      </c>
    </row>
    <row r="2603" spans="1:12" x14ac:dyDescent="0.2">
      <c r="A2603" t="s">
        <v>68</v>
      </c>
      <c r="B2603" t="s">
        <v>109</v>
      </c>
      <c r="C2603" t="s">
        <v>195</v>
      </c>
      <c r="D2603">
        <v>216329</v>
      </c>
      <c r="E2603">
        <v>216329</v>
      </c>
      <c r="F2603">
        <v>216329</v>
      </c>
      <c r="G2603">
        <v>216329</v>
      </c>
      <c r="I2603">
        <v>8256</v>
      </c>
      <c r="J2603">
        <v>16904</v>
      </c>
      <c r="K2603">
        <v>22385</v>
      </c>
      <c r="L2603">
        <v>25874</v>
      </c>
    </row>
    <row r="2604" spans="1:12" x14ac:dyDescent="0.2">
      <c r="A2604" t="s">
        <v>68</v>
      </c>
      <c r="B2604" t="s">
        <v>109</v>
      </c>
      <c r="C2604" t="s">
        <v>196</v>
      </c>
      <c r="D2604">
        <v>213384</v>
      </c>
      <c r="E2604">
        <v>213384</v>
      </c>
      <c r="F2604">
        <v>213384</v>
      </c>
      <c r="I2604">
        <v>11622</v>
      </c>
      <c r="J2604">
        <v>15385</v>
      </c>
      <c r="K2604">
        <v>19461</v>
      </c>
    </row>
    <row r="2605" spans="1:12" x14ac:dyDescent="0.2">
      <c r="A2605" t="s">
        <v>68</v>
      </c>
      <c r="B2605" t="s">
        <v>109</v>
      </c>
      <c r="C2605" t="s">
        <v>197</v>
      </c>
      <c r="D2605">
        <v>146765</v>
      </c>
      <c r="E2605">
        <v>146765</v>
      </c>
      <c r="I2605">
        <v>6896</v>
      </c>
      <c r="J2605">
        <v>11622</v>
      </c>
    </row>
    <row r="2606" spans="1:12" x14ac:dyDescent="0.2">
      <c r="A2606" t="s">
        <v>68</v>
      </c>
      <c r="B2606" t="s">
        <v>109</v>
      </c>
      <c r="C2606" t="s">
        <v>198</v>
      </c>
      <c r="D2606">
        <v>175864</v>
      </c>
      <c r="I2606">
        <v>6731</v>
      </c>
    </row>
    <row r="2607" spans="1:12" x14ac:dyDescent="0.2">
      <c r="A2607" t="s">
        <v>68</v>
      </c>
      <c r="B2607" t="s">
        <v>145</v>
      </c>
      <c r="C2607" t="s">
        <v>195</v>
      </c>
      <c r="D2607">
        <v>50000</v>
      </c>
      <c r="E2607">
        <v>50000</v>
      </c>
      <c r="F2607">
        <v>50000</v>
      </c>
      <c r="G2607">
        <v>50000</v>
      </c>
      <c r="I2607">
        <v>0</v>
      </c>
      <c r="J2607">
        <v>0</v>
      </c>
      <c r="K2607">
        <v>0</v>
      </c>
      <c r="L2607">
        <v>0</v>
      </c>
    </row>
    <row r="2608" spans="1:12" x14ac:dyDescent="0.2">
      <c r="A2608" t="s">
        <v>68</v>
      </c>
      <c r="B2608" t="s">
        <v>145</v>
      </c>
      <c r="C2608" t="s">
        <v>196</v>
      </c>
      <c r="D2608">
        <v>50000</v>
      </c>
      <c r="E2608">
        <v>50000</v>
      </c>
      <c r="F2608">
        <v>50000</v>
      </c>
      <c r="I2608">
        <v>0</v>
      </c>
      <c r="J2608">
        <v>0</v>
      </c>
      <c r="K2608">
        <v>0</v>
      </c>
    </row>
    <row r="2609" spans="1:12" x14ac:dyDescent="0.2">
      <c r="A2609" t="s">
        <v>68</v>
      </c>
      <c r="B2609" t="s">
        <v>145</v>
      </c>
      <c r="C2609" t="s">
        <v>197</v>
      </c>
      <c r="D2609">
        <v>0</v>
      </c>
      <c r="E2609">
        <v>0</v>
      </c>
      <c r="I2609">
        <v>0</v>
      </c>
      <c r="J2609">
        <v>0</v>
      </c>
    </row>
    <row r="2610" spans="1:12" x14ac:dyDescent="0.2">
      <c r="A2610" t="s">
        <v>68</v>
      </c>
      <c r="B2610" t="s">
        <v>145</v>
      </c>
      <c r="C2610" t="s">
        <v>198</v>
      </c>
      <c r="D2610">
        <v>0</v>
      </c>
      <c r="I2610">
        <v>0</v>
      </c>
    </row>
    <row r="2611" spans="1:12" x14ac:dyDescent="0.2">
      <c r="A2611" t="s">
        <v>68</v>
      </c>
      <c r="B2611" t="s">
        <v>110</v>
      </c>
      <c r="C2611" t="s">
        <v>195</v>
      </c>
      <c r="D2611">
        <v>108992</v>
      </c>
      <c r="E2611">
        <v>108992</v>
      </c>
      <c r="F2611">
        <v>108992</v>
      </c>
      <c r="G2611">
        <v>108992</v>
      </c>
      <c r="I2611">
        <v>34812</v>
      </c>
      <c r="J2611">
        <v>54803</v>
      </c>
      <c r="K2611">
        <v>63852</v>
      </c>
      <c r="L2611">
        <v>67606</v>
      </c>
    </row>
    <row r="2612" spans="1:12" x14ac:dyDescent="0.2">
      <c r="A2612" t="s">
        <v>68</v>
      </c>
      <c r="B2612" t="s">
        <v>110</v>
      </c>
      <c r="C2612" t="s">
        <v>196</v>
      </c>
      <c r="D2612">
        <v>172471</v>
      </c>
      <c r="E2612">
        <v>172471</v>
      </c>
      <c r="F2612">
        <v>172471</v>
      </c>
      <c r="I2612">
        <v>58224</v>
      </c>
      <c r="J2612">
        <v>91966</v>
      </c>
      <c r="K2612">
        <v>107842</v>
      </c>
    </row>
    <row r="2613" spans="1:12" x14ac:dyDescent="0.2">
      <c r="A2613" t="s">
        <v>68</v>
      </c>
      <c r="B2613" t="s">
        <v>110</v>
      </c>
      <c r="C2613" t="s">
        <v>197</v>
      </c>
      <c r="D2613">
        <v>248854</v>
      </c>
      <c r="E2613">
        <v>248854</v>
      </c>
      <c r="I2613">
        <v>135315</v>
      </c>
      <c r="J2613">
        <v>169263</v>
      </c>
    </row>
    <row r="2614" spans="1:12" x14ac:dyDescent="0.2">
      <c r="A2614" t="s">
        <v>68</v>
      </c>
      <c r="B2614" t="s">
        <v>110</v>
      </c>
      <c r="C2614" t="s">
        <v>198</v>
      </c>
      <c r="D2614">
        <v>125600</v>
      </c>
      <c r="I2614">
        <v>43888</v>
      </c>
    </row>
    <row r="2615" spans="1:12" x14ac:dyDescent="0.2">
      <c r="A2615" t="s">
        <v>68</v>
      </c>
      <c r="B2615" t="s">
        <v>116</v>
      </c>
      <c r="C2615" t="s">
        <v>195</v>
      </c>
      <c r="D2615">
        <v>1374</v>
      </c>
      <c r="E2615">
        <v>1374</v>
      </c>
      <c r="F2615">
        <v>1374</v>
      </c>
      <c r="G2615">
        <v>1374</v>
      </c>
      <c r="I2615">
        <v>904</v>
      </c>
      <c r="J2615">
        <v>1104</v>
      </c>
      <c r="K2615">
        <v>1174</v>
      </c>
      <c r="L2615">
        <v>1174</v>
      </c>
    </row>
    <row r="2616" spans="1:12" x14ac:dyDescent="0.2">
      <c r="A2616" t="s">
        <v>68</v>
      </c>
      <c r="B2616" t="s">
        <v>116</v>
      </c>
      <c r="C2616" t="s">
        <v>196</v>
      </c>
      <c r="D2616">
        <v>3145</v>
      </c>
      <c r="E2616">
        <v>3145</v>
      </c>
      <c r="F2616">
        <v>3145</v>
      </c>
      <c r="I2616">
        <v>1645</v>
      </c>
      <c r="J2616">
        <v>2895</v>
      </c>
      <c r="K2616">
        <v>2895</v>
      </c>
    </row>
    <row r="2617" spans="1:12" x14ac:dyDescent="0.2">
      <c r="A2617" t="s">
        <v>68</v>
      </c>
      <c r="B2617" t="s">
        <v>116</v>
      </c>
      <c r="C2617" t="s">
        <v>197</v>
      </c>
      <c r="D2617">
        <v>54458</v>
      </c>
      <c r="E2617">
        <v>54458</v>
      </c>
      <c r="I2617">
        <v>52788</v>
      </c>
      <c r="J2617">
        <v>53958</v>
      </c>
    </row>
    <row r="2618" spans="1:12" x14ac:dyDescent="0.2">
      <c r="A2618" t="s">
        <v>68</v>
      </c>
      <c r="B2618" t="s">
        <v>116</v>
      </c>
      <c r="C2618" t="s">
        <v>198</v>
      </c>
      <c r="D2618">
        <v>3269</v>
      </c>
      <c r="I2618">
        <v>2797</v>
      </c>
    </row>
    <row r="2619" spans="1:12" x14ac:dyDescent="0.2">
      <c r="A2619" t="s">
        <v>68</v>
      </c>
      <c r="B2619" t="s">
        <v>114</v>
      </c>
      <c r="C2619" t="s">
        <v>195</v>
      </c>
      <c r="D2619">
        <v>56358</v>
      </c>
      <c r="E2619">
        <v>56358</v>
      </c>
      <c r="F2619">
        <v>56358</v>
      </c>
      <c r="G2619">
        <v>56358</v>
      </c>
      <c r="I2619">
        <v>21930</v>
      </c>
      <c r="J2619">
        <v>32649</v>
      </c>
      <c r="K2619">
        <v>36796</v>
      </c>
      <c r="L2619">
        <v>38251</v>
      </c>
    </row>
    <row r="2620" spans="1:12" x14ac:dyDescent="0.2">
      <c r="A2620" t="s">
        <v>68</v>
      </c>
      <c r="B2620" t="s">
        <v>114</v>
      </c>
      <c r="C2620" t="s">
        <v>196</v>
      </c>
      <c r="D2620">
        <v>57618</v>
      </c>
      <c r="E2620">
        <v>57618</v>
      </c>
      <c r="F2620">
        <v>57618</v>
      </c>
      <c r="I2620">
        <v>19179</v>
      </c>
      <c r="J2620">
        <v>29813</v>
      </c>
      <c r="K2620">
        <v>32677</v>
      </c>
    </row>
    <row r="2621" spans="1:12" x14ac:dyDescent="0.2">
      <c r="A2621" t="s">
        <v>68</v>
      </c>
      <c r="B2621" t="s">
        <v>114</v>
      </c>
      <c r="C2621" t="s">
        <v>197</v>
      </c>
      <c r="D2621">
        <v>106608</v>
      </c>
      <c r="E2621">
        <v>106608</v>
      </c>
      <c r="I2621">
        <v>37181</v>
      </c>
      <c r="J2621">
        <v>51223</v>
      </c>
    </row>
    <row r="2622" spans="1:12" x14ac:dyDescent="0.2">
      <c r="A2622" t="s">
        <v>68</v>
      </c>
      <c r="B2622" t="s">
        <v>114</v>
      </c>
      <c r="C2622" t="s">
        <v>198</v>
      </c>
      <c r="D2622">
        <v>110288</v>
      </c>
      <c r="I2622">
        <v>44831</v>
      </c>
    </row>
    <row r="2623" spans="1:12" x14ac:dyDescent="0.2">
      <c r="A2623" t="s">
        <v>68</v>
      </c>
      <c r="B2623" t="s">
        <v>111</v>
      </c>
      <c r="C2623" t="s">
        <v>195</v>
      </c>
      <c r="D2623">
        <v>129430</v>
      </c>
      <c r="E2623">
        <v>129430</v>
      </c>
      <c r="F2623">
        <v>129430</v>
      </c>
      <c r="G2623">
        <v>129430</v>
      </c>
      <c r="I2623">
        <v>127305</v>
      </c>
      <c r="J2623">
        <v>129430</v>
      </c>
      <c r="K2623">
        <v>129430</v>
      </c>
      <c r="L2623">
        <v>129430</v>
      </c>
    </row>
    <row r="2624" spans="1:12" x14ac:dyDescent="0.2">
      <c r="A2624" t="s">
        <v>68</v>
      </c>
      <c r="B2624" t="s">
        <v>111</v>
      </c>
      <c r="C2624" t="s">
        <v>196</v>
      </c>
      <c r="D2624">
        <v>143008</v>
      </c>
      <c r="E2624">
        <v>142608</v>
      </c>
      <c r="F2624">
        <v>142608</v>
      </c>
      <c r="I2624">
        <v>142403</v>
      </c>
      <c r="J2624">
        <v>142608</v>
      </c>
      <c r="K2624">
        <v>142608</v>
      </c>
    </row>
    <row r="2625" spans="1:12" x14ac:dyDescent="0.2">
      <c r="A2625" t="s">
        <v>68</v>
      </c>
      <c r="B2625" t="s">
        <v>111</v>
      </c>
      <c r="C2625" t="s">
        <v>197</v>
      </c>
      <c r="D2625">
        <v>151589</v>
      </c>
      <c r="E2625">
        <v>151589</v>
      </c>
      <c r="I2625">
        <v>150914</v>
      </c>
      <c r="J2625">
        <v>151394</v>
      </c>
    </row>
    <row r="2626" spans="1:12" x14ac:dyDescent="0.2">
      <c r="A2626" t="s">
        <v>68</v>
      </c>
      <c r="B2626" t="s">
        <v>111</v>
      </c>
      <c r="C2626" t="s">
        <v>198</v>
      </c>
      <c r="D2626">
        <v>132081</v>
      </c>
      <c r="I2626">
        <v>130666</v>
      </c>
    </row>
    <row r="2627" spans="1:12" x14ac:dyDescent="0.2">
      <c r="A2627" t="s">
        <v>68</v>
      </c>
      <c r="B2627" t="s">
        <v>112</v>
      </c>
      <c r="C2627" t="s">
        <v>195</v>
      </c>
      <c r="D2627">
        <v>59770</v>
      </c>
      <c r="E2627">
        <v>59770</v>
      </c>
      <c r="F2627">
        <v>59770</v>
      </c>
      <c r="G2627">
        <v>59770</v>
      </c>
      <c r="I2627">
        <v>59770</v>
      </c>
      <c r="J2627">
        <v>59770</v>
      </c>
      <c r="K2627">
        <v>59770</v>
      </c>
      <c r="L2627">
        <v>59770</v>
      </c>
    </row>
    <row r="2628" spans="1:12" x14ac:dyDescent="0.2">
      <c r="A2628" t="s">
        <v>68</v>
      </c>
      <c r="B2628" t="s">
        <v>112</v>
      </c>
      <c r="C2628" t="s">
        <v>196</v>
      </c>
      <c r="D2628">
        <v>59914</v>
      </c>
      <c r="E2628">
        <v>59914</v>
      </c>
      <c r="F2628">
        <v>59914</v>
      </c>
      <c r="I2628">
        <v>58939</v>
      </c>
      <c r="J2628">
        <v>59914</v>
      </c>
      <c r="K2628">
        <v>59914</v>
      </c>
    </row>
    <row r="2629" spans="1:12" x14ac:dyDescent="0.2">
      <c r="A2629" t="s">
        <v>68</v>
      </c>
      <c r="B2629" t="s">
        <v>112</v>
      </c>
      <c r="C2629" t="s">
        <v>197</v>
      </c>
      <c r="D2629">
        <v>68271</v>
      </c>
      <c r="E2629">
        <v>68271</v>
      </c>
      <c r="I2629">
        <v>67601</v>
      </c>
      <c r="J2629">
        <v>68271</v>
      </c>
    </row>
    <row r="2630" spans="1:12" x14ac:dyDescent="0.2">
      <c r="A2630" t="s">
        <v>68</v>
      </c>
      <c r="B2630" t="s">
        <v>112</v>
      </c>
      <c r="C2630" t="s">
        <v>198</v>
      </c>
      <c r="D2630">
        <v>58103</v>
      </c>
      <c r="I2630">
        <v>58083</v>
      </c>
    </row>
    <row r="2631" spans="1:12" x14ac:dyDescent="0.2">
      <c r="A2631" t="s">
        <v>68</v>
      </c>
      <c r="B2631" t="s">
        <v>115</v>
      </c>
      <c r="C2631" t="s">
        <v>195</v>
      </c>
      <c r="D2631">
        <v>121183</v>
      </c>
      <c r="E2631">
        <v>121153</v>
      </c>
      <c r="F2631">
        <v>121153</v>
      </c>
      <c r="G2631">
        <v>121153</v>
      </c>
      <c r="I2631">
        <v>61837</v>
      </c>
      <c r="J2631">
        <v>102247</v>
      </c>
      <c r="K2631">
        <v>106120</v>
      </c>
      <c r="L2631">
        <v>107542</v>
      </c>
    </row>
    <row r="2632" spans="1:12" x14ac:dyDescent="0.2">
      <c r="A2632" t="s">
        <v>68</v>
      </c>
      <c r="B2632" t="s">
        <v>115</v>
      </c>
      <c r="C2632" t="s">
        <v>196</v>
      </c>
      <c r="D2632">
        <v>212516</v>
      </c>
      <c r="E2632">
        <v>212516</v>
      </c>
      <c r="F2632">
        <v>212516</v>
      </c>
      <c r="I2632">
        <v>80479</v>
      </c>
      <c r="J2632">
        <v>184996</v>
      </c>
      <c r="K2632">
        <v>193479</v>
      </c>
    </row>
    <row r="2633" spans="1:12" x14ac:dyDescent="0.2">
      <c r="A2633" t="s">
        <v>68</v>
      </c>
      <c r="B2633" t="s">
        <v>115</v>
      </c>
      <c r="C2633" t="s">
        <v>197</v>
      </c>
      <c r="D2633">
        <v>194773</v>
      </c>
      <c r="E2633">
        <v>194773</v>
      </c>
      <c r="I2633">
        <v>121858</v>
      </c>
      <c r="J2633">
        <v>166221</v>
      </c>
    </row>
    <row r="2634" spans="1:12" x14ac:dyDescent="0.2">
      <c r="A2634" t="s">
        <v>68</v>
      </c>
      <c r="B2634" t="s">
        <v>115</v>
      </c>
      <c r="C2634" t="s">
        <v>198</v>
      </c>
      <c r="D2634">
        <v>119486</v>
      </c>
      <c r="I2634">
        <v>67007</v>
      </c>
    </row>
    <row r="2635" spans="1:12" x14ac:dyDescent="0.2">
      <c r="A2635" t="s">
        <v>68</v>
      </c>
      <c r="B2635" t="s">
        <v>113</v>
      </c>
      <c r="C2635" t="s">
        <v>195</v>
      </c>
      <c r="D2635">
        <v>27070</v>
      </c>
      <c r="E2635">
        <v>27070</v>
      </c>
      <c r="F2635">
        <v>27070</v>
      </c>
      <c r="G2635">
        <v>27070</v>
      </c>
      <c r="I2635">
        <v>27070</v>
      </c>
      <c r="J2635">
        <v>27070</v>
      </c>
      <c r="K2635">
        <v>27070</v>
      </c>
      <c r="L2635">
        <v>27070</v>
      </c>
    </row>
    <row r="2636" spans="1:12" x14ac:dyDescent="0.2">
      <c r="A2636" t="s">
        <v>68</v>
      </c>
      <c r="B2636" t="s">
        <v>113</v>
      </c>
      <c r="C2636" t="s">
        <v>196</v>
      </c>
      <c r="D2636">
        <v>32511</v>
      </c>
      <c r="E2636">
        <v>32511</v>
      </c>
      <c r="F2636">
        <v>32511</v>
      </c>
      <c r="I2636">
        <v>32111</v>
      </c>
      <c r="J2636">
        <v>32511</v>
      </c>
      <c r="K2636">
        <v>32511</v>
      </c>
    </row>
    <row r="2637" spans="1:12" x14ac:dyDescent="0.2">
      <c r="A2637" t="s">
        <v>68</v>
      </c>
      <c r="B2637" t="s">
        <v>113</v>
      </c>
      <c r="C2637" t="s">
        <v>197</v>
      </c>
      <c r="D2637">
        <v>31527</v>
      </c>
      <c r="E2637">
        <v>31527</v>
      </c>
      <c r="I2637">
        <v>31077</v>
      </c>
      <c r="J2637">
        <v>31527</v>
      </c>
    </row>
    <row r="2638" spans="1:12" x14ac:dyDescent="0.2">
      <c r="A2638" t="s">
        <v>68</v>
      </c>
      <c r="B2638" t="s">
        <v>113</v>
      </c>
      <c r="C2638" t="s">
        <v>198</v>
      </c>
      <c r="D2638">
        <v>24496</v>
      </c>
      <c r="I2638">
        <v>24496</v>
      </c>
    </row>
    <row r="2639" spans="1:12" x14ac:dyDescent="0.2">
      <c r="A2639" t="s">
        <v>68</v>
      </c>
      <c r="B2639" t="s">
        <v>72</v>
      </c>
      <c r="C2639" t="s">
        <v>195</v>
      </c>
      <c r="D2639">
        <v>31114</v>
      </c>
      <c r="E2639">
        <v>31114</v>
      </c>
      <c r="F2639">
        <v>31114</v>
      </c>
      <c r="G2639">
        <v>31114</v>
      </c>
      <c r="I2639">
        <v>31114</v>
      </c>
      <c r="J2639">
        <v>31114</v>
      </c>
      <c r="K2639">
        <v>31114</v>
      </c>
      <c r="L2639">
        <v>31114</v>
      </c>
    </row>
    <row r="2640" spans="1:12" x14ac:dyDescent="0.2">
      <c r="A2640" t="s">
        <v>68</v>
      </c>
      <c r="B2640" t="s">
        <v>72</v>
      </c>
      <c r="C2640" t="s">
        <v>196</v>
      </c>
      <c r="D2640">
        <v>42556</v>
      </c>
      <c r="E2640">
        <v>42556</v>
      </c>
      <c r="F2640">
        <v>42556</v>
      </c>
      <c r="I2640">
        <v>42148</v>
      </c>
      <c r="J2640">
        <v>42148</v>
      </c>
      <c r="K2640">
        <v>42148</v>
      </c>
    </row>
    <row r="2641" spans="1:12" x14ac:dyDescent="0.2">
      <c r="A2641" t="s">
        <v>68</v>
      </c>
      <c r="B2641" t="s">
        <v>72</v>
      </c>
      <c r="C2641" t="s">
        <v>197</v>
      </c>
      <c r="D2641">
        <v>40412</v>
      </c>
      <c r="E2641">
        <v>40412</v>
      </c>
      <c r="I2641">
        <v>39684</v>
      </c>
      <c r="J2641">
        <v>40412</v>
      </c>
    </row>
    <row r="2642" spans="1:12" x14ac:dyDescent="0.2">
      <c r="A2642" t="s">
        <v>68</v>
      </c>
      <c r="B2642" t="s">
        <v>72</v>
      </c>
      <c r="C2642" t="s">
        <v>198</v>
      </c>
      <c r="D2642">
        <v>41493</v>
      </c>
      <c r="I2642">
        <v>41493</v>
      </c>
    </row>
    <row r="2643" spans="1:12" x14ac:dyDescent="0.2">
      <c r="A2643" t="s">
        <v>69</v>
      </c>
      <c r="B2643" t="s">
        <v>109</v>
      </c>
      <c r="C2643" t="s">
        <v>195</v>
      </c>
      <c r="D2643">
        <v>137640.74</v>
      </c>
      <c r="E2643">
        <v>137612.74</v>
      </c>
      <c r="F2643">
        <v>137375.74</v>
      </c>
      <c r="G2643">
        <v>132941.65</v>
      </c>
      <c r="I2643">
        <v>2150.04</v>
      </c>
      <c r="J2643">
        <v>4731.5</v>
      </c>
      <c r="K2643">
        <v>9096.51</v>
      </c>
      <c r="L2643">
        <v>13250.51</v>
      </c>
    </row>
    <row r="2644" spans="1:12" x14ac:dyDescent="0.2">
      <c r="A2644" t="s">
        <v>69</v>
      </c>
      <c r="B2644" t="s">
        <v>109</v>
      </c>
      <c r="C2644" t="s">
        <v>196</v>
      </c>
      <c r="D2644">
        <v>192303.31</v>
      </c>
      <c r="E2644">
        <v>192289.31</v>
      </c>
      <c r="F2644">
        <v>192275.31</v>
      </c>
      <c r="I2644">
        <v>5024.8100000000004</v>
      </c>
      <c r="J2644">
        <v>11269.47</v>
      </c>
      <c r="K2644">
        <v>14106.81</v>
      </c>
    </row>
    <row r="2645" spans="1:12" x14ac:dyDescent="0.2">
      <c r="A2645" t="s">
        <v>69</v>
      </c>
      <c r="B2645" t="s">
        <v>109</v>
      </c>
      <c r="C2645" t="s">
        <v>197</v>
      </c>
      <c r="D2645">
        <v>301132.5</v>
      </c>
      <c r="E2645">
        <v>299565.58</v>
      </c>
      <c r="I2645">
        <v>4806.17</v>
      </c>
      <c r="J2645">
        <v>6914.72</v>
      </c>
    </row>
    <row r="2646" spans="1:12" x14ac:dyDescent="0.2">
      <c r="A2646" t="s">
        <v>69</v>
      </c>
      <c r="B2646" t="s">
        <v>109</v>
      </c>
      <c r="C2646" t="s">
        <v>198</v>
      </c>
      <c r="D2646">
        <v>259523.73</v>
      </c>
      <c r="I2646">
        <v>3353.23</v>
      </c>
    </row>
    <row r="2647" spans="1:12" x14ac:dyDescent="0.2">
      <c r="A2647" t="s">
        <v>69</v>
      </c>
      <c r="B2647" t="s">
        <v>145</v>
      </c>
      <c r="C2647" t="s">
        <v>195</v>
      </c>
      <c r="D2647">
        <v>14</v>
      </c>
      <c r="E2647">
        <v>14</v>
      </c>
      <c r="F2647">
        <v>14</v>
      </c>
      <c r="G2647">
        <v>14</v>
      </c>
      <c r="I2647">
        <v>0</v>
      </c>
      <c r="J2647">
        <v>14</v>
      </c>
      <c r="K2647">
        <v>14</v>
      </c>
      <c r="L2647">
        <v>14</v>
      </c>
    </row>
    <row r="2648" spans="1:12" x14ac:dyDescent="0.2">
      <c r="A2648" t="s">
        <v>69</v>
      </c>
      <c r="B2648" t="s">
        <v>145</v>
      </c>
      <c r="C2648" t="s">
        <v>196</v>
      </c>
      <c r="D2648">
        <v>56231</v>
      </c>
      <c r="E2648">
        <v>53633</v>
      </c>
      <c r="F2648">
        <v>53633</v>
      </c>
      <c r="I2648">
        <v>89</v>
      </c>
      <c r="J2648">
        <v>14</v>
      </c>
      <c r="K2648">
        <v>14</v>
      </c>
    </row>
    <row r="2649" spans="1:12" x14ac:dyDescent="0.2">
      <c r="A2649" t="s">
        <v>69</v>
      </c>
      <c r="B2649" t="s">
        <v>145</v>
      </c>
      <c r="C2649" t="s">
        <v>197</v>
      </c>
      <c r="D2649">
        <v>100000</v>
      </c>
      <c r="E2649">
        <v>100000</v>
      </c>
      <c r="I2649">
        <v>0</v>
      </c>
      <c r="J2649">
        <v>0</v>
      </c>
    </row>
    <row r="2650" spans="1:12" x14ac:dyDescent="0.2">
      <c r="A2650" t="s">
        <v>69</v>
      </c>
      <c r="B2650" t="s">
        <v>145</v>
      </c>
      <c r="C2650" t="s">
        <v>198</v>
      </c>
      <c r="D2650">
        <v>14</v>
      </c>
      <c r="I2650">
        <v>0</v>
      </c>
    </row>
    <row r="2651" spans="1:12" x14ac:dyDescent="0.2">
      <c r="A2651" t="s">
        <v>69</v>
      </c>
      <c r="B2651" t="s">
        <v>110</v>
      </c>
      <c r="C2651" t="s">
        <v>195</v>
      </c>
      <c r="D2651">
        <v>38487.5</v>
      </c>
      <c r="E2651">
        <v>38502.5</v>
      </c>
      <c r="F2651">
        <v>38145.5</v>
      </c>
      <c r="G2651">
        <v>38145.5</v>
      </c>
      <c r="I2651">
        <v>4415</v>
      </c>
      <c r="J2651">
        <v>10706.5</v>
      </c>
      <c r="K2651">
        <v>14606</v>
      </c>
      <c r="L2651">
        <v>16124.62</v>
      </c>
    </row>
    <row r="2652" spans="1:12" x14ac:dyDescent="0.2">
      <c r="A2652" t="s">
        <v>69</v>
      </c>
      <c r="B2652" t="s">
        <v>110</v>
      </c>
      <c r="C2652" t="s">
        <v>196</v>
      </c>
      <c r="D2652">
        <v>44249.5</v>
      </c>
      <c r="E2652">
        <v>44368</v>
      </c>
      <c r="F2652">
        <v>43417</v>
      </c>
      <c r="I2652">
        <v>8567.69</v>
      </c>
      <c r="J2652">
        <v>16433</v>
      </c>
      <c r="K2652">
        <v>20346.36</v>
      </c>
    </row>
    <row r="2653" spans="1:12" x14ac:dyDescent="0.2">
      <c r="A2653" t="s">
        <v>69</v>
      </c>
      <c r="B2653" t="s">
        <v>110</v>
      </c>
      <c r="C2653" t="s">
        <v>197</v>
      </c>
      <c r="D2653">
        <v>53214</v>
      </c>
      <c r="E2653">
        <v>52732</v>
      </c>
      <c r="I2653">
        <v>11432.7</v>
      </c>
      <c r="J2653">
        <v>21958.97</v>
      </c>
    </row>
    <row r="2654" spans="1:12" x14ac:dyDescent="0.2">
      <c r="A2654" t="s">
        <v>69</v>
      </c>
      <c r="B2654" t="s">
        <v>110</v>
      </c>
      <c r="C2654" t="s">
        <v>198</v>
      </c>
      <c r="D2654">
        <v>57697.5</v>
      </c>
      <c r="I2654">
        <v>7344.28</v>
      </c>
    </row>
    <row r="2655" spans="1:12" x14ac:dyDescent="0.2">
      <c r="A2655" t="s">
        <v>69</v>
      </c>
      <c r="B2655" t="s">
        <v>116</v>
      </c>
      <c r="C2655" t="s">
        <v>195</v>
      </c>
      <c r="D2655">
        <v>173</v>
      </c>
      <c r="E2655">
        <v>173</v>
      </c>
      <c r="F2655">
        <v>173</v>
      </c>
      <c r="G2655">
        <v>173</v>
      </c>
      <c r="I2655">
        <v>14</v>
      </c>
      <c r="J2655">
        <v>28</v>
      </c>
      <c r="K2655">
        <v>28</v>
      </c>
      <c r="L2655">
        <v>28</v>
      </c>
    </row>
    <row r="2656" spans="1:12" x14ac:dyDescent="0.2">
      <c r="A2656" t="s">
        <v>69</v>
      </c>
      <c r="B2656" t="s">
        <v>116</v>
      </c>
      <c r="C2656" t="s">
        <v>196</v>
      </c>
      <c r="D2656">
        <v>734</v>
      </c>
      <c r="E2656">
        <v>734</v>
      </c>
      <c r="F2656">
        <v>566</v>
      </c>
      <c r="I2656">
        <v>290</v>
      </c>
      <c r="J2656">
        <v>362</v>
      </c>
      <c r="K2656">
        <v>421</v>
      </c>
    </row>
    <row r="2657" spans="1:12" x14ac:dyDescent="0.2">
      <c r="A2657" t="s">
        <v>69</v>
      </c>
      <c r="B2657" t="s">
        <v>116</v>
      </c>
      <c r="C2657" t="s">
        <v>197</v>
      </c>
      <c r="D2657">
        <v>684.5</v>
      </c>
      <c r="E2657">
        <v>684.5</v>
      </c>
      <c r="I2657">
        <v>7</v>
      </c>
      <c r="J2657">
        <v>7</v>
      </c>
    </row>
    <row r="2658" spans="1:12" x14ac:dyDescent="0.2">
      <c r="A2658" t="s">
        <v>69</v>
      </c>
      <c r="B2658" t="s">
        <v>116</v>
      </c>
      <c r="C2658" t="s">
        <v>198</v>
      </c>
      <c r="D2658">
        <v>561</v>
      </c>
      <c r="I2658">
        <v>0</v>
      </c>
    </row>
    <row r="2659" spans="1:12" x14ac:dyDescent="0.2">
      <c r="A2659" t="s">
        <v>69</v>
      </c>
      <c r="B2659" t="s">
        <v>114</v>
      </c>
      <c r="C2659" t="s">
        <v>195</v>
      </c>
      <c r="D2659">
        <v>15542</v>
      </c>
      <c r="E2659">
        <v>15475</v>
      </c>
      <c r="F2659">
        <v>15475</v>
      </c>
      <c r="G2659">
        <v>15475</v>
      </c>
      <c r="I2659">
        <v>2239</v>
      </c>
      <c r="J2659">
        <v>6672</v>
      </c>
      <c r="K2659">
        <v>8692</v>
      </c>
      <c r="L2659">
        <v>9482</v>
      </c>
    </row>
    <row r="2660" spans="1:12" x14ac:dyDescent="0.2">
      <c r="A2660" t="s">
        <v>69</v>
      </c>
      <c r="B2660" t="s">
        <v>114</v>
      </c>
      <c r="C2660" t="s">
        <v>196</v>
      </c>
      <c r="D2660">
        <v>14552</v>
      </c>
      <c r="E2660">
        <v>14552</v>
      </c>
      <c r="F2660">
        <v>14552</v>
      </c>
      <c r="I2660">
        <v>3631</v>
      </c>
      <c r="J2660">
        <v>8116</v>
      </c>
      <c r="K2660">
        <v>9065</v>
      </c>
    </row>
    <row r="2661" spans="1:12" x14ac:dyDescent="0.2">
      <c r="A2661" t="s">
        <v>69</v>
      </c>
      <c r="B2661" t="s">
        <v>114</v>
      </c>
      <c r="C2661" t="s">
        <v>197</v>
      </c>
      <c r="D2661">
        <v>19154</v>
      </c>
      <c r="E2661">
        <v>19154</v>
      </c>
      <c r="I2661">
        <v>1960</v>
      </c>
      <c r="J2661">
        <v>7068.73</v>
      </c>
    </row>
    <row r="2662" spans="1:12" x14ac:dyDescent="0.2">
      <c r="A2662" t="s">
        <v>69</v>
      </c>
      <c r="B2662" t="s">
        <v>114</v>
      </c>
      <c r="C2662" t="s">
        <v>198</v>
      </c>
      <c r="D2662">
        <v>27183</v>
      </c>
      <c r="I2662">
        <v>5035.1099999999997</v>
      </c>
    </row>
    <row r="2663" spans="1:12" x14ac:dyDescent="0.2">
      <c r="A2663" t="s">
        <v>69</v>
      </c>
      <c r="B2663" t="s">
        <v>111</v>
      </c>
      <c r="C2663" t="s">
        <v>195</v>
      </c>
      <c r="D2663">
        <v>962548.56</v>
      </c>
      <c r="E2663">
        <v>962204.56</v>
      </c>
      <c r="F2663">
        <v>962204.56</v>
      </c>
      <c r="G2663">
        <v>962204.56</v>
      </c>
      <c r="I2663">
        <v>962096.56</v>
      </c>
      <c r="J2663">
        <v>962096.56</v>
      </c>
      <c r="K2663">
        <v>962096.56</v>
      </c>
      <c r="L2663">
        <v>962096.56</v>
      </c>
    </row>
    <row r="2664" spans="1:12" x14ac:dyDescent="0.2">
      <c r="A2664" t="s">
        <v>69</v>
      </c>
      <c r="B2664" t="s">
        <v>111</v>
      </c>
      <c r="C2664" t="s">
        <v>196</v>
      </c>
      <c r="D2664">
        <v>1457949.89</v>
      </c>
      <c r="E2664">
        <v>1458349.89</v>
      </c>
      <c r="F2664">
        <v>1458349.89</v>
      </c>
      <c r="I2664">
        <v>1457949.89</v>
      </c>
      <c r="J2664">
        <v>1457949.89</v>
      </c>
      <c r="K2664">
        <v>1457949.89</v>
      </c>
    </row>
    <row r="2665" spans="1:12" x14ac:dyDescent="0.2">
      <c r="A2665" t="s">
        <v>69</v>
      </c>
      <c r="B2665" t="s">
        <v>111</v>
      </c>
      <c r="C2665" t="s">
        <v>197</v>
      </c>
      <c r="D2665">
        <v>1272491.25</v>
      </c>
      <c r="E2665">
        <v>1271691.25</v>
      </c>
      <c r="I2665">
        <v>1270081.25</v>
      </c>
      <c r="J2665">
        <v>1270081.25</v>
      </c>
    </row>
    <row r="2666" spans="1:12" x14ac:dyDescent="0.2">
      <c r="A2666" t="s">
        <v>69</v>
      </c>
      <c r="B2666" t="s">
        <v>111</v>
      </c>
      <c r="C2666" t="s">
        <v>198</v>
      </c>
      <c r="D2666">
        <v>450248.95</v>
      </c>
      <c r="I2666">
        <v>447948.95</v>
      </c>
    </row>
    <row r="2667" spans="1:12" x14ac:dyDescent="0.2">
      <c r="A2667" t="s">
        <v>69</v>
      </c>
      <c r="B2667" t="s">
        <v>112</v>
      </c>
      <c r="C2667" t="s">
        <v>195</v>
      </c>
      <c r="D2667">
        <v>11389.8</v>
      </c>
      <c r="E2667">
        <v>11389.8</v>
      </c>
      <c r="F2667">
        <v>11389.8</v>
      </c>
      <c r="G2667">
        <v>11389.8</v>
      </c>
      <c r="I2667">
        <v>11389.8</v>
      </c>
      <c r="J2667">
        <v>11389.8</v>
      </c>
      <c r="K2667">
        <v>11389.8</v>
      </c>
      <c r="L2667">
        <v>11389.8</v>
      </c>
    </row>
    <row r="2668" spans="1:12" x14ac:dyDescent="0.2">
      <c r="A2668" t="s">
        <v>69</v>
      </c>
      <c r="B2668" t="s">
        <v>112</v>
      </c>
      <c r="C2668" t="s">
        <v>196</v>
      </c>
      <c r="D2668">
        <v>15250</v>
      </c>
      <c r="E2668">
        <v>15170</v>
      </c>
      <c r="F2668">
        <v>15170</v>
      </c>
      <c r="I2668">
        <v>15170</v>
      </c>
      <c r="J2668">
        <v>15170</v>
      </c>
      <c r="K2668">
        <v>15170</v>
      </c>
    </row>
    <row r="2669" spans="1:12" x14ac:dyDescent="0.2">
      <c r="A2669" t="s">
        <v>69</v>
      </c>
      <c r="B2669" t="s">
        <v>112</v>
      </c>
      <c r="C2669" t="s">
        <v>197</v>
      </c>
      <c r="D2669">
        <v>18837.41</v>
      </c>
      <c r="E2669">
        <v>18837.41</v>
      </c>
      <c r="I2669">
        <v>18737.41</v>
      </c>
      <c r="J2669">
        <v>18737.41</v>
      </c>
    </row>
    <row r="2670" spans="1:12" x14ac:dyDescent="0.2">
      <c r="A2670" t="s">
        <v>69</v>
      </c>
      <c r="B2670" t="s">
        <v>112</v>
      </c>
      <c r="C2670" t="s">
        <v>198</v>
      </c>
      <c r="D2670">
        <v>16786.5</v>
      </c>
      <c r="I2670">
        <v>16301.5</v>
      </c>
    </row>
    <row r="2671" spans="1:12" x14ac:dyDescent="0.2">
      <c r="A2671" t="s">
        <v>69</v>
      </c>
      <c r="B2671" t="s">
        <v>115</v>
      </c>
      <c r="C2671" t="s">
        <v>195</v>
      </c>
      <c r="D2671">
        <v>61190.5</v>
      </c>
      <c r="E2671">
        <v>58801.5</v>
      </c>
      <c r="F2671">
        <v>58625.5</v>
      </c>
      <c r="G2671">
        <v>58889.5</v>
      </c>
      <c r="I2671">
        <v>28838.5</v>
      </c>
      <c r="J2671">
        <v>48733.5</v>
      </c>
      <c r="K2671">
        <v>51974.5</v>
      </c>
      <c r="L2671">
        <v>52182.5</v>
      </c>
    </row>
    <row r="2672" spans="1:12" x14ac:dyDescent="0.2">
      <c r="A2672" t="s">
        <v>69</v>
      </c>
      <c r="B2672" t="s">
        <v>115</v>
      </c>
      <c r="C2672" t="s">
        <v>196</v>
      </c>
      <c r="D2672">
        <v>122378</v>
      </c>
      <c r="E2672">
        <v>117684</v>
      </c>
      <c r="F2672">
        <v>117220</v>
      </c>
      <c r="I2672">
        <v>65923</v>
      </c>
      <c r="J2672">
        <v>96453</v>
      </c>
      <c r="K2672">
        <v>102841</v>
      </c>
    </row>
    <row r="2673" spans="1:12" x14ac:dyDescent="0.2">
      <c r="A2673" t="s">
        <v>69</v>
      </c>
      <c r="B2673" t="s">
        <v>115</v>
      </c>
      <c r="C2673" t="s">
        <v>197</v>
      </c>
      <c r="D2673">
        <v>122233.60000000001</v>
      </c>
      <c r="E2673">
        <v>117551.6</v>
      </c>
      <c r="I2673">
        <v>67377.600000000006</v>
      </c>
      <c r="J2673">
        <v>95069.6</v>
      </c>
    </row>
    <row r="2674" spans="1:12" x14ac:dyDescent="0.2">
      <c r="A2674" t="s">
        <v>69</v>
      </c>
      <c r="B2674" t="s">
        <v>115</v>
      </c>
      <c r="C2674" t="s">
        <v>198</v>
      </c>
      <c r="D2674">
        <v>92200</v>
      </c>
      <c r="I2674">
        <v>43172</v>
      </c>
    </row>
    <row r="2675" spans="1:12" x14ac:dyDescent="0.2">
      <c r="A2675" t="s">
        <v>69</v>
      </c>
      <c r="B2675" t="s">
        <v>113</v>
      </c>
      <c r="C2675" t="s">
        <v>195</v>
      </c>
      <c r="D2675">
        <v>7987</v>
      </c>
      <c r="E2675">
        <v>7987</v>
      </c>
      <c r="F2675">
        <v>7987</v>
      </c>
      <c r="G2675">
        <v>7987</v>
      </c>
      <c r="I2675">
        <v>7987</v>
      </c>
      <c r="J2675">
        <v>7987</v>
      </c>
      <c r="K2675">
        <v>7987</v>
      </c>
      <c r="L2675">
        <v>7987</v>
      </c>
    </row>
    <row r="2676" spans="1:12" x14ac:dyDescent="0.2">
      <c r="A2676" t="s">
        <v>69</v>
      </c>
      <c r="B2676" t="s">
        <v>113</v>
      </c>
      <c r="C2676" t="s">
        <v>196</v>
      </c>
      <c r="D2676">
        <v>9238</v>
      </c>
      <c r="E2676">
        <v>9238</v>
      </c>
      <c r="F2676">
        <v>9238</v>
      </c>
      <c r="I2676">
        <v>9198</v>
      </c>
      <c r="J2676">
        <v>9198</v>
      </c>
      <c r="K2676">
        <v>9198</v>
      </c>
    </row>
    <row r="2677" spans="1:12" x14ac:dyDescent="0.2">
      <c r="A2677" t="s">
        <v>69</v>
      </c>
      <c r="B2677" t="s">
        <v>113</v>
      </c>
      <c r="C2677" t="s">
        <v>197</v>
      </c>
      <c r="D2677">
        <v>9914</v>
      </c>
      <c r="E2677">
        <v>9914</v>
      </c>
      <c r="I2677">
        <v>9914</v>
      </c>
      <c r="J2677">
        <v>9914</v>
      </c>
    </row>
    <row r="2678" spans="1:12" x14ac:dyDescent="0.2">
      <c r="A2678" t="s">
        <v>69</v>
      </c>
      <c r="B2678" t="s">
        <v>113</v>
      </c>
      <c r="C2678" t="s">
        <v>198</v>
      </c>
      <c r="D2678">
        <v>11997</v>
      </c>
      <c r="I2678">
        <v>11652</v>
      </c>
    </row>
    <row r="2679" spans="1:12" x14ac:dyDescent="0.2">
      <c r="A2679" t="s">
        <v>69</v>
      </c>
      <c r="B2679" t="s">
        <v>72</v>
      </c>
      <c r="C2679" t="s">
        <v>195</v>
      </c>
      <c r="D2679">
        <v>16415</v>
      </c>
      <c r="E2679">
        <v>16007</v>
      </c>
      <c r="F2679">
        <v>16007</v>
      </c>
      <c r="G2679">
        <v>16415</v>
      </c>
      <c r="I2679">
        <v>14056</v>
      </c>
      <c r="J2679">
        <v>15094</v>
      </c>
      <c r="K2679">
        <v>15144</v>
      </c>
      <c r="L2679">
        <v>15244</v>
      </c>
    </row>
    <row r="2680" spans="1:12" x14ac:dyDescent="0.2">
      <c r="A2680" t="s">
        <v>69</v>
      </c>
      <c r="B2680" t="s">
        <v>72</v>
      </c>
      <c r="C2680" t="s">
        <v>196</v>
      </c>
      <c r="D2680">
        <v>15958.15</v>
      </c>
      <c r="E2680">
        <v>16366.15</v>
      </c>
      <c r="F2680">
        <v>16366.15</v>
      </c>
      <c r="I2680">
        <v>11124.15</v>
      </c>
      <c r="J2680">
        <v>11369.15</v>
      </c>
      <c r="K2680">
        <v>11609.15</v>
      </c>
    </row>
    <row r="2681" spans="1:12" x14ac:dyDescent="0.2">
      <c r="A2681" t="s">
        <v>69</v>
      </c>
      <c r="B2681" t="s">
        <v>72</v>
      </c>
      <c r="C2681" t="s">
        <v>197</v>
      </c>
      <c r="D2681">
        <v>17978</v>
      </c>
      <c r="E2681">
        <v>17978</v>
      </c>
      <c r="I2681">
        <v>14374.15</v>
      </c>
      <c r="J2681">
        <v>14674.15</v>
      </c>
    </row>
    <row r="2682" spans="1:12" x14ac:dyDescent="0.2">
      <c r="A2682" t="s">
        <v>69</v>
      </c>
      <c r="B2682" t="s">
        <v>72</v>
      </c>
      <c r="C2682" t="s">
        <v>198</v>
      </c>
      <c r="D2682">
        <v>14160.5</v>
      </c>
      <c r="I2682">
        <v>12152.5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topLeftCell="A19" workbookViewId="0">
      <selection activeCell="E13" sqref="E13"/>
    </sheetView>
  </sheetViews>
  <sheetFormatPr defaultRowHeight="13.5" x14ac:dyDescent="0.25"/>
  <cols>
    <col min="1" max="1" width="20.85546875" style="2" customWidth="1"/>
    <col min="2" max="2" width="10.42578125" style="2" bestFit="1" customWidth="1"/>
    <col min="3" max="3" width="12.42578125" style="2" customWidth="1"/>
    <col min="4" max="4" width="11.28515625" style="2"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ht="27" x14ac:dyDescent="0.25">
      <c r="A1" s="4" t="s">
        <v>86</v>
      </c>
      <c r="B1" s="2" t="s">
        <v>208</v>
      </c>
      <c r="D1" s="4" t="s">
        <v>87</v>
      </c>
      <c r="E1" s="2" t="str">
        <f>IF('Circuit Criminal'!D4="","None",'Circuit Criminal'!D4)</f>
        <v>Brevard</v>
      </c>
      <c r="G1" s="22" t="s">
        <v>124</v>
      </c>
      <c r="H1" s="23" t="s">
        <v>118</v>
      </c>
      <c r="I1" s="23" t="s">
        <v>119</v>
      </c>
      <c r="J1" s="23" t="s">
        <v>120</v>
      </c>
      <c r="K1" s="23" t="s">
        <v>121</v>
      </c>
      <c r="L1" s="24" t="s">
        <v>122</v>
      </c>
    </row>
    <row r="2" spans="1:12" x14ac:dyDescent="0.25">
      <c r="A2" s="4" t="s">
        <v>85</v>
      </c>
      <c r="B2" s="2" t="s">
        <v>207</v>
      </c>
      <c r="G2" s="16">
        <v>1</v>
      </c>
      <c r="H2" s="17" t="s">
        <v>209</v>
      </c>
      <c r="I2" s="17" t="s">
        <v>123</v>
      </c>
      <c r="J2" s="17" t="s">
        <v>227</v>
      </c>
      <c r="K2" s="17">
        <v>21</v>
      </c>
      <c r="L2" s="18">
        <v>100</v>
      </c>
    </row>
    <row r="3" spans="1:12" x14ac:dyDescent="0.25">
      <c r="G3" s="16">
        <v>2</v>
      </c>
      <c r="H3" s="104" t="s">
        <v>229</v>
      </c>
      <c r="I3" s="17" t="s">
        <v>123</v>
      </c>
      <c r="J3" s="17" t="s">
        <v>228</v>
      </c>
      <c r="K3" s="17">
        <v>102</v>
      </c>
      <c r="L3" s="18">
        <v>209</v>
      </c>
    </row>
    <row r="4" spans="1:12" x14ac:dyDescent="0.25">
      <c r="G4" s="16">
        <v>3</v>
      </c>
      <c r="H4" s="104" t="s">
        <v>125</v>
      </c>
      <c r="I4" s="17" t="s">
        <v>123</v>
      </c>
      <c r="J4" s="17" t="s">
        <v>126</v>
      </c>
      <c r="K4" s="17">
        <v>211</v>
      </c>
      <c r="L4" s="18">
        <v>246</v>
      </c>
    </row>
    <row r="5" spans="1:12" x14ac:dyDescent="0.25">
      <c r="A5" s="3" t="s">
        <v>88</v>
      </c>
      <c r="B5" s="26"/>
      <c r="G5" s="16">
        <v>4</v>
      </c>
      <c r="H5" s="17"/>
      <c r="I5" s="17"/>
      <c r="J5" s="17"/>
      <c r="K5" s="17"/>
      <c r="L5" s="18"/>
    </row>
    <row r="6" spans="1:12" x14ac:dyDescent="0.25">
      <c r="A6" s="3" t="s">
        <v>89</v>
      </c>
      <c r="B6" s="27"/>
      <c r="G6" s="16">
        <v>5</v>
      </c>
      <c r="H6" s="17"/>
      <c r="I6" s="17"/>
      <c r="J6" s="17"/>
      <c r="K6" s="17"/>
      <c r="L6" s="18"/>
    </row>
    <row r="7" spans="1:12" x14ac:dyDescent="0.25">
      <c r="A7" s="3" t="s">
        <v>91</v>
      </c>
      <c r="B7" s="2" t="str">
        <f>'Circuit Criminal'!H4</f>
        <v>Qtr 1: Oct - Dec</v>
      </c>
      <c r="G7" s="16">
        <v>6</v>
      </c>
      <c r="H7" s="17"/>
      <c r="I7" s="17"/>
      <c r="J7" s="17"/>
      <c r="K7" s="17"/>
      <c r="L7" s="18"/>
    </row>
    <row r="8" spans="1:12" x14ac:dyDescent="0.25">
      <c r="A8" s="3" t="s">
        <v>93</v>
      </c>
      <c r="B8" s="2">
        <f>IF('Circuit Criminal'!L4="",1,'Circuit Criminal'!L4)</f>
        <v>2</v>
      </c>
      <c r="G8" s="16">
        <v>7</v>
      </c>
      <c r="H8" s="17"/>
      <c r="I8" s="17"/>
      <c r="J8" s="17"/>
      <c r="K8" s="17"/>
      <c r="L8" s="18"/>
    </row>
    <row r="9" spans="1:12" x14ac:dyDescent="0.25">
      <c r="A9" s="3" t="s">
        <v>90</v>
      </c>
      <c r="B9" s="13" t="str">
        <f>IF('Circuit Criminal'!H4="","Unknown",'Circuit Criminal'!H4)</f>
        <v>Qtr 1: Oct - Dec</v>
      </c>
      <c r="C9" s="25"/>
      <c r="G9" s="16">
        <v>8</v>
      </c>
      <c r="H9" s="17"/>
      <c r="I9" s="17"/>
      <c r="J9" s="17"/>
      <c r="K9" s="17"/>
      <c r="L9" s="18"/>
    </row>
    <row r="10" spans="1:12" x14ac:dyDescent="0.25">
      <c r="A10" s="3" t="s">
        <v>92</v>
      </c>
      <c r="B10" s="2" t="str">
        <f>E1&amp;" FY1718 "&amp;B1&amp;" "&amp;B9&amp;" Ver"&amp;B8&amp;" "&amp;TEXT(B5,"Mmddyy")&amp;".xlsx"</f>
        <v>Brevard FY1718 Collections Qtr 1: Oct - Dec Ver2 010000.xlsx</v>
      </c>
      <c r="G10" s="16">
        <v>9</v>
      </c>
      <c r="H10" s="17"/>
      <c r="I10" s="17"/>
      <c r="J10" s="17"/>
      <c r="K10" s="17"/>
      <c r="L10" s="18"/>
    </row>
    <row r="11" spans="1:12" x14ac:dyDescent="0.25">
      <c r="A11" s="3" t="s">
        <v>94</v>
      </c>
      <c r="G11" s="16">
        <v>10</v>
      </c>
      <c r="H11" s="17"/>
      <c r="I11" s="17"/>
      <c r="J11" s="17"/>
      <c r="K11" s="17"/>
      <c r="L11" s="18"/>
    </row>
    <row r="12" spans="1:12" ht="14.25" thickBot="1" x14ac:dyDescent="0.3">
      <c r="G12" s="19">
        <v>11</v>
      </c>
      <c r="H12" s="20"/>
      <c r="I12" s="20"/>
      <c r="J12" s="20"/>
      <c r="K12" s="20"/>
      <c r="L12" s="21"/>
    </row>
    <row r="13" spans="1:12" x14ac:dyDescent="0.25">
      <c r="A13" s="3" t="s">
        <v>117</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74</v>
      </c>
      <c r="B20" s="5" t="s">
        <v>183</v>
      </c>
      <c r="C20" s="5" t="s">
        <v>184</v>
      </c>
      <c r="D20" s="5" t="s">
        <v>185</v>
      </c>
      <c r="E20" s="5" t="s">
        <v>186</v>
      </c>
      <c r="F20" s="5" t="s">
        <v>187</v>
      </c>
      <c r="G20" s="5" t="s">
        <v>188</v>
      </c>
      <c r="H20" s="5" t="s">
        <v>220</v>
      </c>
      <c r="I20" s="5" t="s">
        <v>190</v>
      </c>
      <c r="J20" s="5" t="s">
        <v>191</v>
      </c>
      <c r="K20" s="5" t="s">
        <v>192</v>
      </c>
      <c r="L20" s="5" t="s">
        <v>193</v>
      </c>
      <c r="M20" s="5" t="s">
        <v>221</v>
      </c>
      <c r="N20" s="5" t="s">
        <v>222</v>
      </c>
      <c r="O20" s="4" t="s">
        <v>108</v>
      </c>
    </row>
    <row r="21" spans="1:28" ht="15" x14ac:dyDescent="0.25">
      <c r="A21" s="2">
        <f>IFERROR(INDEX(LookupData!O3:O69,MATCH(E1,LookupData!R3:R69,0)),0)</f>
        <v>5</v>
      </c>
      <c r="B21" t="s">
        <v>109</v>
      </c>
      <c r="C21" t="s">
        <v>195</v>
      </c>
      <c r="D21" s="15">
        <f ca="1">INDIRECT("'"&amp;$B21&amp;"'!$e$14")</f>
        <v>950675.9</v>
      </c>
      <c r="E21" s="15">
        <f ca="1">INDIRECT("'"&amp;$B21&amp;"'!$f$14")</f>
        <v>945295.9</v>
      </c>
      <c r="F21" s="15">
        <f ca="1">INDIRECT("'"&amp;$B21&amp;"'!$g$14")</f>
        <v>944605.9</v>
      </c>
      <c r="G21" s="15">
        <f ca="1">INDIRECT("'"&amp;$B21&amp;"'!$h$14")</f>
        <v>944147.4</v>
      </c>
      <c r="H21" s="15">
        <f ca="1">INDIRECT("'"&amp;$B21&amp;"'!$i$14")</f>
        <v>943897.4</v>
      </c>
      <c r="I21" s="15">
        <f ca="1">INDIRECT("'"&amp;$B21&amp;"'!$e$13")</f>
        <v>38570.839999999997</v>
      </c>
      <c r="J21" s="15">
        <f ca="1">INDIRECT("'"&amp;$B21&amp;"'!$f$13")</f>
        <v>56906.9</v>
      </c>
      <c r="K21" s="15">
        <f ca="1">INDIRECT("'"&amp;$B21&amp;"'!$g$13")</f>
        <v>68081.75</v>
      </c>
      <c r="L21" s="15">
        <f ca="1">INDIRECT("'"&amp;$B21&amp;"'!$h$13")</f>
        <v>82869.279999999999</v>
      </c>
      <c r="M21" s="15">
        <f ca="1">INDIRECT("'"&amp;$B21&amp;"'!$i$13")</f>
        <v>100530.58</v>
      </c>
      <c r="N21" s="103">
        <f ca="1">IFERROR(INDIRECT("'"&amp;$B21&amp;"'!$i$13")/INDIRECT("'"&amp;$B21&amp;"'!$i$14"),1)</f>
        <v>0.10650583421460849</v>
      </c>
      <c r="O21" s="2">
        <v>12</v>
      </c>
      <c r="Q21" s="99"/>
      <c r="R21" s="99"/>
      <c r="S21" s="99"/>
      <c r="T21" s="99"/>
      <c r="U21" s="99"/>
      <c r="V21" s="14"/>
      <c r="Y21" s="14"/>
      <c r="Z21" s="14"/>
      <c r="AA21" s="14"/>
      <c r="AB21" s="14"/>
    </row>
    <row r="22" spans="1:28" ht="15" x14ac:dyDescent="0.25">
      <c r="A22" s="2">
        <f>A$21</f>
        <v>5</v>
      </c>
      <c r="B22" t="s">
        <v>109</v>
      </c>
      <c r="C22" t="s">
        <v>196</v>
      </c>
      <c r="D22" s="15">
        <f ca="1">INDIRECT("'"&amp;$B22&amp;"'!$f$18")</f>
        <v>1621447.1</v>
      </c>
      <c r="E22" s="15">
        <f ca="1">INDIRECT("'"&amp;$B22&amp;"'!$g$18")</f>
        <v>1617015.6</v>
      </c>
      <c r="F22" s="15">
        <f ca="1">INDIRECT("'"&amp;$B22&amp;"'!$h$18")</f>
        <v>1615314.1</v>
      </c>
      <c r="G22" s="15">
        <f ca="1">INDIRECT("'"&amp;$B22&amp;"'!$i$18")</f>
        <v>1615259.1</v>
      </c>
      <c r="H22" s="15">
        <f ca="1">INDIRECT("'"&amp;$B22&amp;"'!$j$18")</f>
        <v>0</v>
      </c>
      <c r="I22" s="15">
        <f ca="1">INDIRECT("'"&amp;$B22&amp;"'!$f$17")</f>
        <v>49124.22</v>
      </c>
      <c r="J22" s="15">
        <f ca="1">INDIRECT("'"&amp;$B22&amp;"'!$g$17")</f>
        <v>65855.539999999994</v>
      </c>
      <c r="K22" s="15">
        <f ca="1">INDIRECT("'"&amp;$B22&amp;"'!$h$17")</f>
        <v>92027.4</v>
      </c>
      <c r="L22" s="15">
        <f ca="1">INDIRECT("'"&amp;$B22&amp;"'!$i$17")</f>
        <v>105419.92</v>
      </c>
      <c r="M22" s="15">
        <f ca="1">INDIRECT("'"&amp;$B22&amp;"'!$j$17")</f>
        <v>0</v>
      </c>
      <c r="N22" s="103">
        <f ca="1">IFERROR(INDIRECT("'"&amp;$B22&amp;"'!$j$17")/INDIRECT("'"&amp;$B22&amp;"'!$j$18"),1)</f>
        <v>1</v>
      </c>
      <c r="O22" s="2">
        <v>12</v>
      </c>
      <c r="Q22" s="99"/>
      <c r="R22" s="99"/>
      <c r="S22" s="99"/>
      <c r="T22" s="99"/>
      <c r="U22" s="14"/>
      <c r="V22" s="14"/>
      <c r="Y22" s="14"/>
      <c r="Z22" s="14"/>
      <c r="AA22" s="14"/>
      <c r="AB22" s="14"/>
    </row>
    <row r="23" spans="1:28" x14ac:dyDescent="0.25">
      <c r="A23" s="2">
        <f t="shared" ref="A23:A86" si="0">A$21</f>
        <v>5</v>
      </c>
      <c r="B23" t="s">
        <v>109</v>
      </c>
      <c r="C23" t="s">
        <v>197</v>
      </c>
      <c r="D23" s="15">
        <f ca="1">INDIRECT("'"&amp;$B23&amp;"'!$g$22")</f>
        <v>837425.56</v>
      </c>
      <c r="E23" s="15">
        <f ca="1">INDIRECT("'"&amp;$B23&amp;"'!$h$22")</f>
        <v>831517.56</v>
      </c>
      <c r="F23" s="15">
        <f ca="1">INDIRECT("'"&amp;$B23&amp;"'!$i$22")</f>
        <v>830512.56</v>
      </c>
      <c r="G23" s="15">
        <f ca="1">INDIRECT("'"&amp;$B23&amp;"'!$j$22")</f>
        <v>0</v>
      </c>
      <c r="H23" s="15">
        <f ca="1">INDIRECT("'"&amp;$B23&amp;"'!$k$22")</f>
        <v>0</v>
      </c>
      <c r="I23" s="15">
        <f ca="1">INDIRECT("'"&amp;$B23&amp;"'!$g$21")</f>
        <v>51081.22</v>
      </c>
      <c r="J23" s="15">
        <f ca="1">INDIRECT("'"&amp;$B23&amp;"'!$h$21")</f>
        <v>67390.41</v>
      </c>
      <c r="K23" s="15">
        <f ca="1">INDIRECT("'"&amp;$B23&amp;"'!$i$21")</f>
        <v>83936.82</v>
      </c>
      <c r="L23" s="15">
        <f ca="1">INDIRECT("'"&amp;$B23&amp;"'!$j$21")</f>
        <v>0</v>
      </c>
      <c r="M23" s="15">
        <f ca="1">INDIRECT("'"&amp;$B23&amp;"'!$k$21")</f>
        <v>0</v>
      </c>
      <c r="N23" s="103">
        <f ca="1">IFERROR(INDIRECT("'"&amp;$B23&amp;"'!$k$21")/INDIRECT("'"&amp;$B23&amp;"'!$k$22"),1)</f>
        <v>1</v>
      </c>
      <c r="O23" s="2">
        <v>12</v>
      </c>
      <c r="U23" s="14"/>
      <c r="V23" s="14"/>
      <c r="W23" s="14"/>
      <c r="Y23" s="14"/>
      <c r="Z23" s="14"/>
      <c r="AA23" s="14"/>
      <c r="AB23" s="14"/>
    </row>
    <row r="24" spans="1:28" x14ac:dyDescent="0.25">
      <c r="A24" s="2">
        <f t="shared" si="0"/>
        <v>5</v>
      </c>
      <c r="B24" t="s">
        <v>109</v>
      </c>
      <c r="C24" t="s">
        <v>198</v>
      </c>
      <c r="D24" s="15">
        <f ca="1">INDIRECT("'"&amp;$B24&amp;"'!$h$26")</f>
        <v>1200892.8500000001</v>
      </c>
      <c r="E24" s="15">
        <f ca="1">INDIRECT("'"&amp;$B24&amp;"'!$i$26")</f>
        <v>1196296.8500000001</v>
      </c>
      <c r="F24" s="15">
        <f ca="1">INDIRECT("'"&amp;$B24&amp;"'!$j$26")</f>
        <v>0</v>
      </c>
      <c r="G24" s="15">
        <f ca="1">INDIRECT("'"&amp;$B24&amp;"'!$k$26")</f>
        <v>0</v>
      </c>
      <c r="H24" s="15">
        <f ca="1">INDIRECT("'"&amp;$B24&amp;"'!$l$26")</f>
        <v>0</v>
      </c>
      <c r="I24" s="15">
        <f ca="1">INDIRECT("'"&amp;$B24&amp;"'!$h$25")</f>
        <v>47542.239999999998</v>
      </c>
      <c r="J24" s="15">
        <f ca="1">INDIRECT("'"&amp;$B24&amp;"'!$i$25")</f>
        <v>57618.73</v>
      </c>
      <c r="K24" s="15">
        <f ca="1">INDIRECT("'"&amp;$B24&amp;"'!$j$25")</f>
        <v>0</v>
      </c>
      <c r="L24" s="15">
        <f ca="1">INDIRECT("'"&amp;$B24&amp;"'!$k$25")</f>
        <v>0</v>
      </c>
      <c r="M24" s="15">
        <f ca="1">INDIRECT("'"&amp;$B24&amp;"'!$l$25")</f>
        <v>0</v>
      </c>
      <c r="N24" s="103">
        <f ca="1">IFERROR(INDIRECT("'"&amp;$B24&amp;"'!$l$25")/INDIRECT("'"&amp;$B24&amp;"'!$l$26"),1)</f>
        <v>1</v>
      </c>
      <c r="O24" s="2">
        <v>12</v>
      </c>
      <c r="U24" s="14"/>
      <c r="V24" s="14"/>
      <c r="X24" s="14"/>
      <c r="Y24" s="14"/>
      <c r="Z24" s="14"/>
      <c r="AA24" s="14"/>
      <c r="AB24" s="14"/>
    </row>
    <row r="25" spans="1:28" x14ac:dyDescent="0.25">
      <c r="A25" s="2">
        <f t="shared" si="0"/>
        <v>5</v>
      </c>
      <c r="B25" t="s">
        <v>109</v>
      </c>
      <c r="C25" t="s">
        <v>210</v>
      </c>
      <c r="D25" s="15">
        <f ca="1">INDIRECT("'"&amp;$B25&amp;"'!$i$30")</f>
        <v>868377.19</v>
      </c>
      <c r="E25" s="15">
        <f ca="1">INDIRECT("'"&amp;$B25&amp;"'!$j$30")</f>
        <v>0</v>
      </c>
      <c r="F25" s="15">
        <f ca="1">INDIRECT("'"&amp;$B25&amp;"'!$k$30")</f>
        <v>0</v>
      </c>
      <c r="G25" s="15">
        <f ca="1">INDIRECT("'"&amp;$B25&amp;"'!$l$30")</f>
        <v>0</v>
      </c>
      <c r="H25" s="15"/>
      <c r="I25" s="15">
        <f ca="1">INDIRECT("'"&amp;$B25&amp;"'!$i$29")</f>
        <v>44201.15</v>
      </c>
      <c r="J25" s="15">
        <f ca="1">INDIRECT("'"&amp;$B25&amp;"'!$j$29")</f>
        <v>0</v>
      </c>
      <c r="K25" s="15">
        <f ca="1">INDIRECT("'"&amp;$B25&amp;"'!$k$29")</f>
        <v>0</v>
      </c>
      <c r="L25" s="15">
        <f ca="1">INDIRECT("'"&amp;$B25&amp;"'!$l$29")</f>
        <v>0</v>
      </c>
      <c r="M25" s="15"/>
      <c r="N25" s="103">
        <v>1</v>
      </c>
      <c r="O25" s="2">
        <v>12</v>
      </c>
      <c r="U25" s="14"/>
      <c r="V25" s="14"/>
      <c r="X25" s="14"/>
      <c r="Y25" s="14"/>
      <c r="Z25" s="14"/>
      <c r="AA25" s="14"/>
      <c r="AB25" s="14"/>
    </row>
    <row r="26" spans="1:28" x14ac:dyDescent="0.25">
      <c r="A26" s="2">
        <f t="shared" si="0"/>
        <v>5</v>
      </c>
      <c r="B26" t="s">
        <v>109</v>
      </c>
      <c r="C26" t="s">
        <v>211</v>
      </c>
      <c r="D26" s="15">
        <f ca="1">INDIRECT("'"&amp;$B26&amp;"'!$j$34")</f>
        <v>0</v>
      </c>
      <c r="E26" s="15">
        <f ca="1">INDIRECT("'"&amp;$B26&amp;"'!$k$34")</f>
        <v>0</v>
      </c>
      <c r="F26" s="15">
        <f ca="1">INDIRECT("'"&amp;$B26&amp;"'!$l$34")</f>
        <v>0</v>
      </c>
      <c r="G26" s="15"/>
      <c r="H26" s="15"/>
      <c r="I26" s="15">
        <f ca="1">INDIRECT("'"&amp;$B26&amp;"'!$j$33")</f>
        <v>0</v>
      </c>
      <c r="J26" s="15">
        <f ca="1">INDIRECT("'"&amp;$B26&amp;"'!$k$33")</f>
        <v>0</v>
      </c>
      <c r="K26" s="15">
        <f ca="1">INDIRECT("'"&amp;$B26&amp;"'!$l$33")</f>
        <v>0</v>
      </c>
      <c r="L26" s="15"/>
      <c r="M26" s="15"/>
      <c r="N26" s="103">
        <v>1</v>
      </c>
      <c r="O26" s="2">
        <v>12</v>
      </c>
      <c r="U26" s="14"/>
      <c r="V26" s="14"/>
      <c r="W26" s="14"/>
      <c r="X26" s="14"/>
      <c r="Y26" s="14"/>
      <c r="Z26" s="14"/>
      <c r="AA26" s="14"/>
      <c r="AB26" s="14"/>
    </row>
    <row r="27" spans="1:28" x14ac:dyDescent="0.25">
      <c r="A27" s="2">
        <f t="shared" si="0"/>
        <v>5</v>
      </c>
      <c r="B27" t="s">
        <v>109</v>
      </c>
      <c r="C27" t="s">
        <v>212</v>
      </c>
      <c r="D27" s="15">
        <f ca="1">INDIRECT("'"&amp;$B27&amp;"'!$k$38")</f>
        <v>0</v>
      </c>
      <c r="E27" s="15">
        <f ca="1">INDIRECT("'"&amp;$B27&amp;"'!$l$38")</f>
        <v>0</v>
      </c>
      <c r="F27" s="15"/>
      <c r="G27" s="15"/>
      <c r="H27" s="15"/>
      <c r="I27" s="15">
        <f ca="1">INDIRECT("'"&amp;$B27&amp;"'!$k$37")</f>
        <v>0</v>
      </c>
      <c r="J27" s="15">
        <f ca="1">INDIRECT("'"&amp;$B27&amp;"'!$l$37")</f>
        <v>0</v>
      </c>
      <c r="K27" s="15"/>
      <c r="L27" s="15"/>
      <c r="M27" s="15"/>
      <c r="N27" s="103">
        <v>1</v>
      </c>
      <c r="O27" s="2">
        <v>12</v>
      </c>
      <c r="U27" s="14"/>
      <c r="V27" s="14"/>
      <c r="X27" s="14"/>
      <c r="Y27" s="14"/>
      <c r="Z27" s="14"/>
      <c r="AA27" s="14"/>
      <c r="AB27" s="14"/>
    </row>
    <row r="28" spans="1:28" x14ac:dyDescent="0.25">
      <c r="A28" s="2">
        <f t="shared" si="0"/>
        <v>5</v>
      </c>
      <c r="B28" t="s">
        <v>109</v>
      </c>
      <c r="C28" t="s">
        <v>213</v>
      </c>
      <c r="D28" s="15">
        <f ca="1">INDIRECT("'"&amp;$B28&amp;"'!$l$42")</f>
        <v>0</v>
      </c>
      <c r="E28" s="15"/>
      <c r="F28" s="15"/>
      <c r="G28" s="15"/>
      <c r="H28" s="15"/>
      <c r="I28" s="15">
        <f ca="1">INDIRECT("'"&amp;$B28&amp;"'!$l$41")</f>
        <v>0</v>
      </c>
      <c r="J28" s="15"/>
      <c r="K28" s="15"/>
      <c r="L28" s="15"/>
      <c r="M28" s="15"/>
      <c r="N28" s="103">
        <v>1</v>
      </c>
      <c r="O28" s="2">
        <v>12</v>
      </c>
      <c r="U28" s="14"/>
      <c r="V28" s="14"/>
      <c r="X28" s="14"/>
      <c r="Y28" s="14"/>
      <c r="Z28" s="14"/>
      <c r="AA28" s="14"/>
      <c r="AB28" s="14"/>
    </row>
    <row r="29" spans="1:28" x14ac:dyDescent="0.25">
      <c r="A29" s="2">
        <f t="shared" si="0"/>
        <v>5</v>
      </c>
      <c r="B29" t="s">
        <v>145</v>
      </c>
      <c r="C29" t="s">
        <v>195</v>
      </c>
      <c r="D29" s="15">
        <f t="shared" ref="D29" ca="1" si="1">INDIRECT("'"&amp;$B29&amp;"'!$e$14")</f>
        <v>318498</v>
      </c>
      <c r="E29" s="15">
        <f t="shared" ref="E29" ca="1" si="2">INDIRECT("'"&amp;$B29&amp;"'!$f$14")</f>
        <v>318548</v>
      </c>
      <c r="F29" s="15">
        <f t="shared" ref="F29" ca="1" si="3">INDIRECT("'"&amp;$B29&amp;"'!$g$14")</f>
        <v>318548</v>
      </c>
      <c r="G29" s="15">
        <f t="shared" ref="G29" ca="1" si="4">INDIRECT("'"&amp;$B29&amp;"'!$h$14")</f>
        <v>318698</v>
      </c>
      <c r="H29" s="15">
        <f t="shared" ref="H29" ca="1" si="5">INDIRECT("'"&amp;$B29&amp;"'!$i$14")</f>
        <v>318698</v>
      </c>
      <c r="I29" s="15">
        <f t="shared" ref="I29" ca="1" si="6">INDIRECT("'"&amp;$B29&amp;"'!$e$13")</f>
        <v>136</v>
      </c>
      <c r="J29" s="15">
        <f t="shared" ref="J29" ca="1" si="7">INDIRECT("'"&amp;$B29&amp;"'!$f$13")</f>
        <v>628</v>
      </c>
      <c r="K29" s="15">
        <f t="shared" ref="K29" ca="1" si="8">INDIRECT("'"&amp;$B29&amp;"'!$g$13")</f>
        <v>628</v>
      </c>
      <c r="L29" s="15">
        <f t="shared" ref="L29" ca="1" si="9">INDIRECT("'"&amp;$B29&amp;"'!$h$13")</f>
        <v>828</v>
      </c>
      <c r="M29" s="15">
        <f t="shared" ref="M29" ca="1" si="10">INDIRECT("'"&amp;$B29&amp;"'!$i$13")</f>
        <v>828</v>
      </c>
      <c r="N29" s="103">
        <f ca="1">IFERROR(INDIRECT("'"&amp;$B29&amp;"'!$i$13")/INDIRECT("'"&amp;$B29&amp;"'!$i$14"),1)</f>
        <v>2.5980709009783558E-3</v>
      </c>
      <c r="O29" s="2">
        <v>12</v>
      </c>
      <c r="V29" s="14"/>
      <c r="W29" s="14"/>
      <c r="X29" s="14"/>
      <c r="Y29" s="14"/>
      <c r="Z29" s="14"/>
      <c r="AA29" s="14"/>
    </row>
    <row r="30" spans="1:28" x14ac:dyDescent="0.25">
      <c r="A30" s="2">
        <f t="shared" si="0"/>
        <v>5</v>
      </c>
      <c r="B30" t="s">
        <v>145</v>
      </c>
      <c r="C30" t="s">
        <v>196</v>
      </c>
      <c r="D30" s="15">
        <f t="shared" ref="D30" ca="1" si="11">INDIRECT("'"&amp;$B30&amp;"'!$f$18")</f>
        <v>817795</v>
      </c>
      <c r="E30" s="15">
        <f t="shared" ref="E30" ca="1" si="12">INDIRECT("'"&amp;$B30&amp;"'!$g$18")</f>
        <v>817795</v>
      </c>
      <c r="F30" s="15">
        <f t="shared" ref="F30" ca="1" si="13">INDIRECT("'"&amp;$B30&amp;"'!$h$18")</f>
        <v>817845</v>
      </c>
      <c r="G30" s="15">
        <f t="shared" ref="G30" ca="1" si="14">INDIRECT("'"&amp;$B30&amp;"'!$i$18")</f>
        <v>817845</v>
      </c>
      <c r="H30" s="15">
        <f t="shared" ref="H30" ca="1" si="15">INDIRECT("'"&amp;$B30&amp;"'!$j$18")</f>
        <v>0</v>
      </c>
      <c r="I30" s="15">
        <f t="shared" ref="I30" ca="1" si="16">INDIRECT("'"&amp;$B30&amp;"'!$f$17")</f>
        <v>266</v>
      </c>
      <c r="J30" s="15">
        <f t="shared" ref="J30" ca="1" si="17">INDIRECT("'"&amp;$B30&amp;"'!$g$17")</f>
        <v>266</v>
      </c>
      <c r="K30" s="15">
        <f t="shared" ref="K30" ca="1" si="18">INDIRECT("'"&amp;$B30&amp;"'!$h$17")</f>
        <v>266</v>
      </c>
      <c r="L30" s="15">
        <f t="shared" ref="L30" ca="1" si="19">INDIRECT("'"&amp;$B30&amp;"'!$i$17")</f>
        <v>266</v>
      </c>
      <c r="M30" s="15">
        <f t="shared" ref="M30" ca="1" si="20">INDIRECT("'"&amp;$B30&amp;"'!$j$17")</f>
        <v>0</v>
      </c>
      <c r="N30" s="103">
        <f ca="1">IFERROR(INDIRECT("'"&amp;$B30&amp;"'!$j$17")/INDIRECT("'"&amp;$B30&amp;"'!$j$18"),1)</f>
        <v>1</v>
      </c>
      <c r="O30" s="2">
        <v>12</v>
      </c>
      <c r="V30" s="14"/>
      <c r="W30" s="14"/>
      <c r="X30" s="14"/>
      <c r="Y30" s="14"/>
      <c r="Z30" s="14"/>
      <c r="AA30" s="14"/>
    </row>
    <row r="31" spans="1:28" x14ac:dyDescent="0.25">
      <c r="A31" s="2">
        <f t="shared" si="0"/>
        <v>5</v>
      </c>
      <c r="B31" t="s">
        <v>145</v>
      </c>
      <c r="C31" t="s">
        <v>197</v>
      </c>
      <c r="D31" s="15">
        <f t="shared" ref="D31" ca="1" si="21">INDIRECT("'"&amp;$B31&amp;"'!$g$22")</f>
        <v>106488</v>
      </c>
      <c r="E31" s="15">
        <f t="shared" ref="E31" ca="1" si="22">INDIRECT("'"&amp;$B31&amp;"'!$h$22")</f>
        <v>106538</v>
      </c>
      <c r="F31" s="15">
        <f t="shared" ref="F31" ca="1" si="23">INDIRECT("'"&amp;$B31&amp;"'!$i$22")</f>
        <v>106538</v>
      </c>
      <c r="G31" s="15">
        <f t="shared" ref="G31" ca="1" si="24">INDIRECT("'"&amp;$B31&amp;"'!$j$22")</f>
        <v>0</v>
      </c>
      <c r="H31" s="15">
        <f t="shared" ref="H31" ca="1" si="25">INDIRECT("'"&amp;$B31&amp;"'!$k$22")</f>
        <v>0</v>
      </c>
      <c r="I31" s="15">
        <f t="shared" ref="I31" ca="1" si="26">INDIRECT("'"&amp;$B31&amp;"'!$g$21")</f>
        <v>191</v>
      </c>
      <c r="J31" s="15">
        <f t="shared" ref="J31" ca="1" si="27">INDIRECT("'"&amp;$B31&amp;"'!$h$21")</f>
        <v>191</v>
      </c>
      <c r="K31" s="15">
        <f t="shared" ref="K31" ca="1" si="28">INDIRECT("'"&amp;$B31&amp;"'!$i$21")</f>
        <v>191</v>
      </c>
      <c r="L31" s="15">
        <f t="shared" ref="L31" ca="1" si="29">INDIRECT("'"&amp;$B31&amp;"'!$j$21")</f>
        <v>0</v>
      </c>
      <c r="M31" s="15">
        <f t="shared" ref="M31" ca="1" si="30">INDIRECT("'"&amp;$B31&amp;"'!$k$21")</f>
        <v>0</v>
      </c>
      <c r="N31" s="103">
        <f ca="1">IFERROR(INDIRECT("'"&amp;$B31&amp;"'!$k$21")/INDIRECT("'"&amp;$B31&amp;"'!$k$22"),1)</f>
        <v>1</v>
      </c>
      <c r="O31" s="2">
        <v>12</v>
      </c>
      <c r="V31" s="14"/>
      <c r="W31" s="14"/>
      <c r="X31" s="14"/>
      <c r="Y31" s="14"/>
      <c r="Z31" s="14"/>
      <c r="AA31" s="14"/>
    </row>
    <row r="32" spans="1:28" x14ac:dyDescent="0.25">
      <c r="A32" s="2">
        <f t="shared" si="0"/>
        <v>5</v>
      </c>
      <c r="B32" t="s">
        <v>145</v>
      </c>
      <c r="C32" t="s">
        <v>198</v>
      </c>
      <c r="D32" s="15">
        <f t="shared" ref="D32" ca="1" si="31">INDIRECT("'"&amp;$B32&amp;"'!$h$26")</f>
        <v>529567</v>
      </c>
      <c r="E32" s="15">
        <f t="shared" ref="E32" ca="1" si="32">INDIRECT("'"&amp;$B32&amp;"'!$i$26")</f>
        <v>529567</v>
      </c>
      <c r="F32" s="15">
        <f t="shared" ref="F32" ca="1" si="33">INDIRECT("'"&amp;$B32&amp;"'!$j$26")</f>
        <v>0</v>
      </c>
      <c r="G32" s="15">
        <f t="shared" ref="G32" ca="1" si="34">INDIRECT("'"&amp;$B32&amp;"'!$k$26")</f>
        <v>0</v>
      </c>
      <c r="H32" s="15">
        <f t="shared" ref="H32" ca="1" si="35">INDIRECT("'"&amp;$B32&amp;"'!$l$26")</f>
        <v>0</v>
      </c>
      <c r="I32" s="15">
        <f t="shared" ref="I32" ca="1" si="36">INDIRECT("'"&amp;$B32&amp;"'!$h$25")</f>
        <v>182</v>
      </c>
      <c r="J32" s="15">
        <f t="shared" ref="J32" ca="1" si="37">INDIRECT("'"&amp;$B32&amp;"'!$i$25")</f>
        <v>247</v>
      </c>
      <c r="K32" s="15">
        <f t="shared" ref="K32" ca="1" si="38">INDIRECT("'"&amp;$B32&amp;"'!$j$25")</f>
        <v>0</v>
      </c>
      <c r="L32" s="15">
        <f t="shared" ref="L32" ca="1" si="39">INDIRECT("'"&amp;$B32&amp;"'!$k$25")</f>
        <v>0</v>
      </c>
      <c r="M32" s="15">
        <f t="shared" ref="M32" ca="1" si="40">INDIRECT("'"&amp;$B32&amp;"'!$l$25")</f>
        <v>0</v>
      </c>
      <c r="N32" s="103">
        <f ca="1">IFERROR(INDIRECT("'"&amp;$B32&amp;"'!$l$25")/INDIRECT("'"&amp;$B32&amp;"'!$l$26"),1)</f>
        <v>1</v>
      </c>
      <c r="O32" s="2">
        <v>12</v>
      </c>
      <c r="V32" s="14"/>
      <c r="W32" s="14"/>
      <c r="X32" s="14"/>
      <c r="Y32" s="14"/>
      <c r="Z32" s="14"/>
      <c r="AA32" s="14"/>
    </row>
    <row r="33" spans="1:27" x14ac:dyDescent="0.25">
      <c r="A33" s="2">
        <f t="shared" si="0"/>
        <v>5</v>
      </c>
      <c r="B33" t="s">
        <v>145</v>
      </c>
      <c r="C33" t="s">
        <v>210</v>
      </c>
      <c r="D33" s="15">
        <f t="shared" ref="D33" ca="1" si="41">INDIRECT("'"&amp;$B33&amp;"'!$i$30")</f>
        <v>108095</v>
      </c>
      <c r="E33" s="15">
        <f t="shared" ref="E33" ca="1" si="42">INDIRECT("'"&amp;$B33&amp;"'!$j$30")</f>
        <v>0</v>
      </c>
      <c r="F33" s="15">
        <f t="shared" ref="F33" ca="1" si="43">INDIRECT("'"&amp;$B33&amp;"'!$k$30")</f>
        <v>0</v>
      </c>
      <c r="G33" s="15">
        <f t="shared" ref="G33" ca="1" si="44">INDIRECT("'"&amp;$B33&amp;"'!$l$30")</f>
        <v>0</v>
      </c>
      <c r="H33" s="15"/>
      <c r="I33" s="15">
        <f t="shared" ref="I33" ca="1" si="45">INDIRECT("'"&amp;$B33&amp;"'!$i$29")</f>
        <v>193</v>
      </c>
      <c r="J33" s="15">
        <f t="shared" ref="J33" ca="1" si="46">INDIRECT("'"&amp;$B33&amp;"'!$j$29")</f>
        <v>0</v>
      </c>
      <c r="K33" s="15">
        <f t="shared" ref="K33" ca="1" si="47">INDIRECT("'"&amp;$B33&amp;"'!$k$29")</f>
        <v>0</v>
      </c>
      <c r="L33" s="15">
        <f t="shared" ref="L33" ca="1" si="48">INDIRECT("'"&amp;$B33&amp;"'!$l$29")</f>
        <v>0</v>
      </c>
      <c r="M33" s="15"/>
      <c r="N33" s="103">
        <v>1</v>
      </c>
      <c r="O33" s="2">
        <v>12</v>
      </c>
      <c r="V33" s="14"/>
      <c r="W33" s="14"/>
      <c r="X33" s="14"/>
      <c r="Y33" s="14"/>
      <c r="Z33" s="14"/>
      <c r="AA33" s="14"/>
    </row>
    <row r="34" spans="1:27" x14ac:dyDescent="0.25">
      <c r="A34" s="2">
        <f t="shared" si="0"/>
        <v>5</v>
      </c>
      <c r="B34" t="s">
        <v>145</v>
      </c>
      <c r="C34" t="s">
        <v>211</v>
      </c>
      <c r="D34" s="15">
        <f t="shared" ref="D34" ca="1" si="49">INDIRECT("'"&amp;$B34&amp;"'!$j$34")</f>
        <v>0</v>
      </c>
      <c r="E34" s="15">
        <f t="shared" ref="E34" ca="1" si="50">INDIRECT("'"&amp;$B34&amp;"'!$k$34")</f>
        <v>0</v>
      </c>
      <c r="F34" s="15">
        <f t="shared" ref="F34" ca="1" si="51">INDIRECT("'"&amp;$B34&amp;"'!$l$34")</f>
        <v>0</v>
      </c>
      <c r="G34" s="15"/>
      <c r="H34" s="15"/>
      <c r="I34" s="15">
        <f t="shared" ref="I34" ca="1" si="52">INDIRECT("'"&amp;$B34&amp;"'!$j$33")</f>
        <v>0</v>
      </c>
      <c r="J34" s="15">
        <f t="shared" ref="J34" ca="1" si="53">INDIRECT("'"&amp;$B34&amp;"'!$k$33")</f>
        <v>0</v>
      </c>
      <c r="K34" s="15">
        <f t="shared" ref="K34" ca="1" si="54">INDIRECT("'"&amp;$B34&amp;"'!$l$33")</f>
        <v>0</v>
      </c>
      <c r="L34" s="15"/>
      <c r="M34" s="15"/>
      <c r="N34" s="103">
        <v>1</v>
      </c>
      <c r="O34" s="2">
        <v>12</v>
      </c>
      <c r="V34" s="14"/>
      <c r="W34" s="14"/>
      <c r="X34" s="14"/>
      <c r="Y34" s="14"/>
      <c r="Z34" s="14"/>
      <c r="AA34" s="14"/>
    </row>
    <row r="35" spans="1:27" x14ac:dyDescent="0.25">
      <c r="A35" s="2">
        <f t="shared" si="0"/>
        <v>5</v>
      </c>
      <c r="B35" t="s">
        <v>145</v>
      </c>
      <c r="C35" t="s">
        <v>212</v>
      </c>
      <c r="D35" s="15">
        <f t="shared" ref="D35" ca="1" si="55">INDIRECT("'"&amp;$B35&amp;"'!$k$38")</f>
        <v>0</v>
      </c>
      <c r="E35" s="15">
        <f t="shared" ref="E35" ca="1" si="56">INDIRECT("'"&amp;$B35&amp;"'!$l$38")</f>
        <v>0</v>
      </c>
      <c r="F35" s="15"/>
      <c r="G35" s="15"/>
      <c r="H35" s="15"/>
      <c r="I35" s="15">
        <f t="shared" ref="I35" ca="1" si="57">INDIRECT("'"&amp;$B35&amp;"'!$k$37")</f>
        <v>0</v>
      </c>
      <c r="J35" s="15">
        <f t="shared" ref="J35" ca="1" si="58">INDIRECT("'"&amp;$B35&amp;"'!$l$37")</f>
        <v>0</v>
      </c>
      <c r="K35" s="15"/>
      <c r="L35" s="15"/>
      <c r="M35" s="15"/>
      <c r="N35" s="103">
        <v>1</v>
      </c>
      <c r="O35" s="2">
        <v>12</v>
      </c>
      <c r="V35" s="14"/>
      <c r="W35" s="14"/>
      <c r="X35" s="14"/>
      <c r="Y35" s="14"/>
      <c r="Z35" s="14"/>
      <c r="AA35" s="14"/>
    </row>
    <row r="36" spans="1:27" x14ac:dyDescent="0.25">
      <c r="A36" s="2">
        <f t="shared" si="0"/>
        <v>5</v>
      </c>
      <c r="B36" t="s">
        <v>145</v>
      </c>
      <c r="C36" t="s">
        <v>213</v>
      </c>
      <c r="D36" s="15">
        <f t="shared" ref="D36" ca="1" si="59">INDIRECT("'"&amp;$B36&amp;"'!$l$42")</f>
        <v>0</v>
      </c>
      <c r="E36" s="15"/>
      <c r="F36" s="15"/>
      <c r="G36" s="15"/>
      <c r="H36" s="15"/>
      <c r="I36" s="15">
        <f t="shared" ref="I36" ca="1" si="60">INDIRECT("'"&amp;$B36&amp;"'!$l$41")</f>
        <v>0</v>
      </c>
      <c r="J36" s="15"/>
      <c r="K36" s="15"/>
      <c r="L36" s="15"/>
      <c r="M36" s="15"/>
      <c r="N36" s="103">
        <v>1</v>
      </c>
      <c r="O36" s="2">
        <v>12</v>
      </c>
      <c r="V36" s="14"/>
      <c r="W36" s="14"/>
      <c r="X36" s="14"/>
      <c r="Y36" s="14"/>
      <c r="Z36" s="14"/>
      <c r="AA36" s="14"/>
    </row>
    <row r="37" spans="1:27" x14ac:dyDescent="0.25">
      <c r="A37" s="2">
        <f t="shared" si="0"/>
        <v>5</v>
      </c>
      <c r="B37" t="s">
        <v>110</v>
      </c>
      <c r="C37" t="s">
        <v>195</v>
      </c>
      <c r="D37" s="15">
        <f t="shared" ref="D37" ca="1" si="61">INDIRECT("'"&amp;$B37&amp;"'!$e$14")</f>
        <v>444802.13</v>
      </c>
      <c r="E37" s="15">
        <f t="shared" ref="E37" ca="1" si="62">INDIRECT("'"&amp;$B37&amp;"'!$f$14")</f>
        <v>438341.13</v>
      </c>
      <c r="F37" s="15">
        <f t="shared" ref="F37" ca="1" si="63">INDIRECT("'"&amp;$B37&amp;"'!$g$14")</f>
        <v>436767.63</v>
      </c>
      <c r="G37" s="15">
        <f t="shared" ref="G37" ca="1" si="64">INDIRECT("'"&amp;$B37&amp;"'!$h$14")</f>
        <v>436417.63</v>
      </c>
      <c r="H37" s="15">
        <f t="shared" ref="H37" ca="1" si="65">INDIRECT("'"&amp;$B37&amp;"'!$i$14")</f>
        <v>436031.63</v>
      </c>
      <c r="I37" s="15">
        <f t="shared" ref="I37" ca="1" si="66">INDIRECT("'"&amp;$B37&amp;"'!$e$13")</f>
        <v>74032.77</v>
      </c>
      <c r="J37" s="15">
        <f t="shared" ref="J37" ca="1" si="67">INDIRECT("'"&amp;$B37&amp;"'!$f$13")</f>
        <v>113962.84</v>
      </c>
      <c r="K37" s="15">
        <f t="shared" ref="K37" ca="1" si="68">INDIRECT("'"&amp;$B37&amp;"'!$g$13")</f>
        <v>140578.34</v>
      </c>
      <c r="L37" s="15">
        <f t="shared" ref="L37" ca="1" si="69">INDIRECT("'"&amp;$B37&amp;"'!$h$13")</f>
        <v>160838.74</v>
      </c>
      <c r="M37" s="15">
        <f t="shared" ref="M37" ca="1" si="70">INDIRECT("'"&amp;$B37&amp;"'!$i$13")</f>
        <v>175256.9</v>
      </c>
      <c r="N37" s="103">
        <f ca="1">IFERROR(INDIRECT("'"&amp;$B37&amp;"'!$i$13")/INDIRECT("'"&amp;$B37&amp;"'!$i$14"),1)</f>
        <v>0.40193620815994469</v>
      </c>
      <c r="O37" s="2">
        <v>12</v>
      </c>
    </row>
    <row r="38" spans="1:27" x14ac:dyDescent="0.25">
      <c r="A38" s="2">
        <f t="shared" si="0"/>
        <v>5</v>
      </c>
      <c r="B38" t="s">
        <v>110</v>
      </c>
      <c r="C38" t="s">
        <v>196</v>
      </c>
      <c r="D38" s="15">
        <f t="shared" ref="D38" ca="1" si="71">INDIRECT("'"&amp;$B38&amp;"'!$f$18")</f>
        <v>533541.80000000005</v>
      </c>
      <c r="E38" s="15">
        <f t="shared" ref="E38" ca="1" si="72">INDIRECT("'"&amp;$B38&amp;"'!$g$18")</f>
        <v>526798.30000000005</v>
      </c>
      <c r="F38" s="15">
        <f t="shared" ref="F38" ca="1" si="73">INDIRECT("'"&amp;$B38&amp;"'!$h$18")</f>
        <v>525527.80000000005</v>
      </c>
      <c r="G38" s="15">
        <f t="shared" ref="G38" ca="1" si="74">INDIRECT("'"&amp;$B38&amp;"'!$i$18")</f>
        <v>524608.80000000005</v>
      </c>
      <c r="H38" s="15">
        <f t="shared" ref="H38" ca="1" si="75">INDIRECT("'"&amp;$B38&amp;"'!$j$18")</f>
        <v>0</v>
      </c>
      <c r="I38" s="15">
        <f t="shared" ref="I38" ca="1" si="76">INDIRECT("'"&amp;$B38&amp;"'!$f$17")</f>
        <v>91605.22</v>
      </c>
      <c r="J38" s="15">
        <f t="shared" ref="J38" ca="1" si="77">INDIRECT("'"&amp;$B38&amp;"'!$g$17")</f>
        <v>132039.47</v>
      </c>
      <c r="K38" s="15">
        <f t="shared" ref="K38" ca="1" si="78">INDIRECT("'"&amp;$B38&amp;"'!$h$17")</f>
        <v>164212.01</v>
      </c>
      <c r="L38" s="15">
        <f t="shared" ref="L38" ca="1" si="79">INDIRECT("'"&amp;$B38&amp;"'!$i$17")</f>
        <v>188901.22</v>
      </c>
      <c r="M38" s="15">
        <f t="shared" ref="M38" ca="1" si="80">INDIRECT("'"&amp;$B38&amp;"'!$j$17")</f>
        <v>0</v>
      </c>
      <c r="N38" s="103">
        <f ca="1">IFERROR(INDIRECT("'"&amp;$B38&amp;"'!$j$17")/INDIRECT("'"&amp;$B38&amp;"'!$j$18"),1)</f>
        <v>1</v>
      </c>
      <c r="O38" s="2">
        <v>12</v>
      </c>
    </row>
    <row r="39" spans="1:27" x14ac:dyDescent="0.25">
      <c r="A39" s="2">
        <f t="shared" si="0"/>
        <v>5</v>
      </c>
      <c r="B39" t="s">
        <v>110</v>
      </c>
      <c r="C39" t="s">
        <v>197</v>
      </c>
      <c r="D39" s="15">
        <f t="shared" ref="D39" ca="1" si="81">INDIRECT("'"&amp;$B39&amp;"'!$g$22")</f>
        <v>533896.4</v>
      </c>
      <c r="E39" s="15">
        <f t="shared" ref="E39" ca="1" si="82">INDIRECT("'"&amp;$B39&amp;"'!$h$22")</f>
        <v>527699.4</v>
      </c>
      <c r="F39" s="15">
        <f t="shared" ref="F39" ca="1" si="83">INDIRECT("'"&amp;$B39&amp;"'!$i$22")</f>
        <v>526685.4</v>
      </c>
      <c r="G39" s="15">
        <f t="shared" ref="G39" ca="1" si="84">INDIRECT("'"&amp;$B39&amp;"'!$j$22")</f>
        <v>0</v>
      </c>
      <c r="H39" s="15">
        <f t="shared" ref="H39" ca="1" si="85">INDIRECT("'"&amp;$B39&amp;"'!$k$22")</f>
        <v>0</v>
      </c>
      <c r="I39" s="15">
        <f t="shared" ref="I39" ca="1" si="86">INDIRECT("'"&amp;$B39&amp;"'!$g$21")</f>
        <v>98837.86</v>
      </c>
      <c r="J39" s="15">
        <f t="shared" ref="J39" ca="1" si="87">INDIRECT("'"&amp;$B39&amp;"'!$h$21")</f>
        <v>141347.54999999999</v>
      </c>
      <c r="K39" s="15">
        <f t="shared" ref="K39" ca="1" si="88">INDIRECT("'"&amp;$B39&amp;"'!$i$21")</f>
        <v>177659.16</v>
      </c>
      <c r="L39" s="15">
        <f t="shared" ref="L39" ca="1" si="89">INDIRECT("'"&amp;$B39&amp;"'!$j$21")</f>
        <v>0</v>
      </c>
      <c r="M39" s="15">
        <f t="shared" ref="M39" ca="1" si="90">INDIRECT("'"&amp;$B39&amp;"'!$k$21")</f>
        <v>0</v>
      </c>
      <c r="N39" s="103">
        <f ca="1">IFERROR(INDIRECT("'"&amp;$B39&amp;"'!$k$21")/INDIRECT("'"&amp;$B39&amp;"'!$k$22"),1)</f>
        <v>1</v>
      </c>
      <c r="O39" s="2">
        <v>12</v>
      </c>
    </row>
    <row r="40" spans="1:27" x14ac:dyDescent="0.25">
      <c r="A40" s="2">
        <f t="shared" si="0"/>
        <v>5</v>
      </c>
      <c r="B40" t="s">
        <v>110</v>
      </c>
      <c r="C40" t="s">
        <v>198</v>
      </c>
      <c r="D40" s="15">
        <f t="shared" ref="D40" ca="1" si="91">INDIRECT("'"&amp;$B40&amp;"'!$h$26")</f>
        <v>490208.1</v>
      </c>
      <c r="E40" s="15">
        <f t="shared" ref="E40" ca="1" si="92">INDIRECT("'"&amp;$B40&amp;"'!$i$26")</f>
        <v>482007.6</v>
      </c>
      <c r="F40" s="15">
        <f t="shared" ref="F40" ca="1" si="93">INDIRECT("'"&amp;$B40&amp;"'!$j$26")</f>
        <v>0</v>
      </c>
      <c r="G40" s="15">
        <f t="shared" ref="G40" ca="1" si="94">INDIRECT("'"&amp;$B40&amp;"'!$k$26")</f>
        <v>0</v>
      </c>
      <c r="H40" s="15">
        <f t="shared" ref="H40" ca="1" si="95">INDIRECT("'"&amp;$B40&amp;"'!$l$26")</f>
        <v>0</v>
      </c>
      <c r="I40" s="15">
        <f t="shared" ref="I40" ca="1" si="96">INDIRECT("'"&amp;$B40&amp;"'!$h$25")</f>
        <v>91365.45</v>
      </c>
      <c r="J40" s="15">
        <f t="shared" ref="J40" ca="1" si="97">INDIRECT("'"&amp;$B40&amp;"'!$i$25")</f>
        <v>128459.12</v>
      </c>
      <c r="K40" s="15">
        <f t="shared" ref="K40" ca="1" si="98">INDIRECT("'"&amp;$B40&amp;"'!$j$25")</f>
        <v>0</v>
      </c>
      <c r="L40" s="15">
        <f t="shared" ref="L40" ca="1" si="99">INDIRECT("'"&amp;$B40&amp;"'!$k$25")</f>
        <v>0</v>
      </c>
      <c r="M40" s="15">
        <f t="shared" ref="M40" ca="1" si="100">INDIRECT("'"&amp;$B40&amp;"'!$l$25")</f>
        <v>0</v>
      </c>
      <c r="N40" s="103">
        <f ca="1">IFERROR(INDIRECT("'"&amp;$B40&amp;"'!$l$25")/INDIRECT("'"&amp;$B40&amp;"'!$l$26"),1)</f>
        <v>1</v>
      </c>
      <c r="O40" s="2">
        <v>12</v>
      </c>
    </row>
    <row r="41" spans="1:27" x14ac:dyDescent="0.25">
      <c r="A41" s="2">
        <f t="shared" si="0"/>
        <v>5</v>
      </c>
      <c r="B41" t="s">
        <v>110</v>
      </c>
      <c r="C41" t="s">
        <v>210</v>
      </c>
      <c r="D41" s="15">
        <f t="shared" ref="D41" ca="1" si="101">INDIRECT("'"&amp;$B41&amp;"'!$i$30")</f>
        <v>515994.45</v>
      </c>
      <c r="E41" s="15">
        <f t="shared" ref="E41" ca="1" si="102">INDIRECT("'"&amp;$B41&amp;"'!$j$30")</f>
        <v>0</v>
      </c>
      <c r="F41" s="15">
        <f t="shared" ref="F41" ca="1" si="103">INDIRECT("'"&amp;$B41&amp;"'!$k$30")</f>
        <v>0</v>
      </c>
      <c r="G41" s="15">
        <f t="shared" ref="G41" ca="1" si="104">INDIRECT("'"&amp;$B41&amp;"'!$l$30")</f>
        <v>0</v>
      </c>
      <c r="H41" s="15"/>
      <c r="I41" s="15">
        <f t="shared" ref="I41" ca="1" si="105">INDIRECT("'"&amp;$B41&amp;"'!$i$29")</f>
        <v>84906.36</v>
      </c>
      <c r="J41" s="15">
        <f t="shared" ref="J41" ca="1" si="106">INDIRECT("'"&amp;$B41&amp;"'!$j$29")</f>
        <v>0</v>
      </c>
      <c r="K41" s="15">
        <f t="shared" ref="K41" ca="1" si="107">INDIRECT("'"&amp;$B41&amp;"'!$k$29")</f>
        <v>0</v>
      </c>
      <c r="L41" s="15">
        <f t="shared" ref="L41" ca="1" si="108">INDIRECT("'"&amp;$B41&amp;"'!$l$29")</f>
        <v>0</v>
      </c>
      <c r="M41" s="15"/>
      <c r="N41" s="103">
        <v>1</v>
      </c>
      <c r="O41" s="2">
        <v>12</v>
      </c>
    </row>
    <row r="42" spans="1:27" x14ac:dyDescent="0.25">
      <c r="A42" s="2">
        <f t="shared" si="0"/>
        <v>5</v>
      </c>
      <c r="B42" t="s">
        <v>110</v>
      </c>
      <c r="C42" t="s">
        <v>211</v>
      </c>
      <c r="D42" s="15">
        <f t="shared" ref="D42" ca="1" si="109">INDIRECT("'"&amp;$B42&amp;"'!$j$34")</f>
        <v>0</v>
      </c>
      <c r="E42" s="15">
        <f t="shared" ref="E42" ca="1" si="110">INDIRECT("'"&amp;$B42&amp;"'!$k$34")</f>
        <v>0</v>
      </c>
      <c r="F42" s="15">
        <f t="shared" ref="F42" ca="1" si="111">INDIRECT("'"&amp;$B42&amp;"'!$l$34")</f>
        <v>0</v>
      </c>
      <c r="G42" s="15"/>
      <c r="H42" s="15"/>
      <c r="I42" s="15">
        <f t="shared" ref="I42" ca="1" si="112">INDIRECT("'"&amp;$B42&amp;"'!$j$33")</f>
        <v>0</v>
      </c>
      <c r="J42" s="15">
        <f t="shared" ref="J42" ca="1" si="113">INDIRECT("'"&amp;$B42&amp;"'!$k$33")</f>
        <v>0</v>
      </c>
      <c r="K42" s="15">
        <f t="shared" ref="K42" ca="1" si="114">INDIRECT("'"&amp;$B42&amp;"'!$l$33")</f>
        <v>0</v>
      </c>
      <c r="L42" s="15"/>
      <c r="M42" s="15"/>
      <c r="N42" s="103">
        <v>1</v>
      </c>
      <c r="O42" s="2">
        <v>12</v>
      </c>
    </row>
    <row r="43" spans="1:27" x14ac:dyDescent="0.25">
      <c r="A43" s="2">
        <f t="shared" si="0"/>
        <v>5</v>
      </c>
      <c r="B43" t="s">
        <v>110</v>
      </c>
      <c r="C43" t="s">
        <v>212</v>
      </c>
      <c r="D43" s="15">
        <f t="shared" ref="D43" ca="1" si="115">INDIRECT("'"&amp;$B43&amp;"'!$k$38")</f>
        <v>0</v>
      </c>
      <c r="E43" s="15">
        <f t="shared" ref="E43" ca="1" si="116">INDIRECT("'"&amp;$B43&amp;"'!$l$38")</f>
        <v>0</v>
      </c>
      <c r="F43" s="15"/>
      <c r="G43" s="15"/>
      <c r="H43" s="15"/>
      <c r="I43" s="15">
        <f t="shared" ref="I43" ca="1" si="117">INDIRECT("'"&amp;$B43&amp;"'!$k$37")</f>
        <v>0</v>
      </c>
      <c r="J43" s="15">
        <f t="shared" ref="J43" ca="1" si="118">INDIRECT("'"&amp;$B43&amp;"'!$l$37")</f>
        <v>0</v>
      </c>
      <c r="K43" s="15"/>
      <c r="L43" s="15"/>
      <c r="M43" s="15"/>
      <c r="N43" s="103">
        <v>1</v>
      </c>
      <c r="O43" s="2">
        <v>12</v>
      </c>
    </row>
    <row r="44" spans="1:27" x14ac:dyDescent="0.25">
      <c r="A44" s="2">
        <f t="shared" si="0"/>
        <v>5</v>
      </c>
      <c r="B44" t="s">
        <v>110</v>
      </c>
      <c r="C44" t="s">
        <v>213</v>
      </c>
      <c r="D44" s="15">
        <f t="shared" ref="D44" ca="1" si="119">INDIRECT("'"&amp;$B44&amp;"'!$l$42")</f>
        <v>0</v>
      </c>
      <c r="E44" s="15"/>
      <c r="F44" s="15"/>
      <c r="G44" s="15"/>
      <c r="H44" s="15"/>
      <c r="I44" s="15">
        <f t="shared" ref="I44" ca="1" si="120">INDIRECT("'"&amp;$B44&amp;"'!$l$41")</f>
        <v>0</v>
      </c>
      <c r="J44" s="15"/>
      <c r="K44" s="15"/>
      <c r="L44" s="15"/>
      <c r="M44" s="15"/>
      <c r="N44" s="103">
        <v>1</v>
      </c>
      <c r="O44" s="2">
        <v>12</v>
      </c>
    </row>
    <row r="45" spans="1:27" x14ac:dyDescent="0.25">
      <c r="A45" s="2">
        <f t="shared" si="0"/>
        <v>5</v>
      </c>
      <c r="B45" t="s">
        <v>116</v>
      </c>
      <c r="C45" t="s">
        <v>195</v>
      </c>
      <c r="D45" s="15">
        <f t="shared" ref="D45" ca="1" si="121">INDIRECT("'"&amp;$B45&amp;"'!$e$14")</f>
        <v>34673.050000000003</v>
      </c>
      <c r="E45" s="15">
        <f t="shared" ref="E45" ca="1" si="122">INDIRECT("'"&amp;$B45&amp;"'!$f$14")</f>
        <v>34473.050000000003</v>
      </c>
      <c r="F45" s="15">
        <f t="shared" ref="F45" ca="1" si="123">INDIRECT("'"&amp;$B45&amp;"'!$g$14")</f>
        <v>34423.050000000003</v>
      </c>
      <c r="G45" s="15">
        <f t="shared" ref="G45" ca="1" si="124">INDIRECT("'"&amp;$B45&amp;"'!$h$14")</f>
        <v>34073.050000000003</v>
      </c>
      <c r="H45" s="15">
        <f t="shared" ref="H45" ca="1" si="125">INDIRECT("'"&amp;$B45&amp;"'!$i$14")</f>
        <v>33973.050000000003</v>
      </c>
      <c r="I45" s="15">
        <f t="shared" ref="I45" ca="1" si="126">INDIRECT("'"&amp;$B45&amp;"'!$e$13")</f>
        <v>607.04999999999995</v>
      </c>
      <c r="J45" s="15">
        <f t="shared" ref="J45" ca="1" si="127">INDIRECT("'"&amp;$B45&amp;"'!$f$13")</f>
        <v>1251.05</v>
      </c>
      <c r="K45" s="15">
        <f t="shared" ref="K45" ca="1" si="128">INDIRECT("'"&amp;$B45&amp;"'!$g$13")</f>
        <v>1705.05</v>
      </c>
      <c r="L45" s="15">
        <f t="shared" ref="L45" ca="1" si="129">INDIRECT("'"&amp;$B45&amp;"'!$h$13")</f>
        <v>1936.05</v>
      </c>
      <c r="M45" s="15">
        <f t="shared" ref="M45" ca="1" si="130">INDIRECT("'"&amp;$B45&amp;"'!$i$13")</f>
        <v>2451.0500000000002</v>
      </c>
      <c r="N45" s="103">
        <f ca="1">IFERROR(INDIRECT("'"&amp;$B45&amp;"'!$i$13")/INDIRECT("'"&amp;$B45&amp;"'!$i$14"),1)</f>
        <v>7.2146892904817198E-2</v>
      </c>
      <c r="O45" s="2">
        <v>12</v>
      </c>
    </row>
    <row r="46" spans="1:27" x14ac:dyDescent="0.25">
      <c r="A46" s="2">
        <f t="shared" si="0"/>
        <v>5</v>
      </c>
      <c r="B46" t="s">
        <v>116</v>
      </c>
      <c r="C46" t="s">
        <v>196</v>
      </c>
      <c r="D46" s="15">
        <f t="shared" ref="D46" ca="1" si="131">INDIRECT("'"&amp;$B46&amp;"'!$f$18")</f>
        <v>48038.35</v>
      </c>
      <c r="E46" s="15">
        <f t="shared" ref="E46" ca="1" si="132">INDIRECT("'"&amp;$B46&amp;"'!$g$18")</f>
        <v>47588.35</v>
      </c>
      <c r="F46" s="15">
        <f t="shared" ref="F46" ca="1" si="133">INDIRECT("'"&amp;$B46&amp;"'!$h$18")</f>
        <v>47088.35</v>
      </c>
      <c r="G46" s="15">
        <f t="shared" ref="G46" ca="1" si="134">INDIRECT("'"&amp;$B46&amp;"'!$i$18")</f>
        <v>46988.35</v>
      </c>
      <c r="H46" s="15">
        <f t="shared" ref="H46" ca="1" si="135">INDIRECT("'"&amp;$B46&amp;"'!$j$18")</f>
        <v>0</v>
      </c>
      <c r="I46" s="15">
        <f t="shared" ref="I46" ca="1" si="136">INDIRECT("'"&amp;$B46&amp;"'!$f$17")</f>
        <v>1296.8499999999999</v>
      </c>
      <c r="J46" s="15">
        <f t="shared" ref="J46" ca="1" si="137">INDIRECT("'"&amp;$B46&amp;"'!$g$17")</f>
        <v>2356.85</v>
      </c>
      <c r="K46" s="15">
        <f t="shared" ref="K46" ca="1" si="138">INDIRECT("'"&amp;$B46&amp;"'!$h$17")</f>
        <v>2712.85</v>
      </c>
      <c r="L46" s="15">
        <f t="shared" ref="L46" ca="1" si="139">INDIRECT("'"&amp;$B46&amp;"'!$i$17")</f>
        <v>2988.85</v>
      </c>
      <c r="M46" s="15">
        <f t="shared" ref="M46" ca="1" si="140">INDIRECT("'"&amp;$B46&amp;"'!$j$17")</f>
        <v>0</v>
      </c>
      <c r="N46" s="103">
        <f ca="1">IFERROR(INDIRECT("'"&amp;$B46&amp;"'!$j$17")/INDIRECT("'"&amp;$B46&amp;"'!$j$18"),1)</f>
        <v>1</v>
      </c>
      <c r="O46" s="2">
        <v>12</v>
      </c>
    </row>
    <row r="47" spans="1:27" x14ac:dyDescent="0.25">
      <c r="A47" s="2">
        <f t="shared" si="0"/>
        <v>5</v>
      </c>
      <c r="B47" t="s">
        <v>116</v>
      </c>
      <c r="C47" t="s">
        <v>197</v>
      </c>
      <c r="D47" s="15">
        <f t="shared" ref="D47" ca="1" si="141">INDIRECT("'"&amp;$B47&amp;"'!$g$22")</f>
        <v>43913.4</v>
      </c>
      <c r="E47" s="15">
        <f t="shared" ref="E47" ca="1" si="142">INDIRECT("'"&amp;$B47&amp;"'!$h$22")</f>
        <v>43313.4</v>
      </c>
      <c r="F47" s="15">
        <f t="shared" ref="F47" ca="1" si="143">INDIRECT("'"&amp;$B47&amp;"'!$i$22")</f>
        <v>42963.4</v>
      </c>
      <c r="G47" s="15">
        <f t="shared" ref="G47" ca="1" si="144">INDIRECT("'"&amp;$B47&amp;"'!$j$22")</f>
        <v>0</v>
      </c>
      <c r="H47" s="15">
        <f t="shared" ref="H47" ca="1" si="145">INDIRECT("'"&amp;$B47&amp;"'!$k$22")</f>
        <v>0</v>
      </c>
      <c r="I47" s="15">
        <f t="shared" ref="I47" ca="1" si="146">INDIRECT("'"&amp;$B47&amp;"'!$g$21")</f>
        <v>901.4</v>
      </c>
      <c r="J47" s="15">
        <f t="shared" ref="J47" ca="1" si="147">INDIRECT("'"&amp;$B47&amp;"'!$h$21")</f>
        <v>1051.4000000000001</v>
      </c>
      <c r="K47" s="15">
        <f t="shared" ref="K47" ca="1" si="148">INDIRECT("'"&amp;$B47&amp;"'!$i$21")</f>
        <v>1512.4</v>
      </c>
      <c r="L47" s="15">
        <f t="shared" ref="L47" ca="1" si="149">INDIRECT("'"&amp;$B47&amp;"'!$j$21")</f>
        <v>0</v>
      </c>
      <c r="M47" s="15">
        <f t="shared" ref="M47" ca="1" si="150">INDIRECT("'"&amp;$B47&amp;"'!$k$21")</f>
        <v>0</v>
      </c>
      <c r="N47" s="103">
        <f ca="1">IFERROR(INDIRECT("'"&amp;$B47&amp;"'!$k$21")/INDIRECT("'"&amp;$B47&amp;"'!$k$22"),1)</f>
        <v>1</v>
      </c>
      <c r="O47" s="2">
        <v>12</v>
      </c>
    </row>
    <row r="48" spans="1:27" x14ac:dyDescent="0.25">
      <c r="A48" s="2">
        <f t="shared" si="0"/>
        <v>5</v>
      </c>
      <c r="B48" t="s">
        <v>116</v>
      </c>
      <c r="C48" t="s">
        <v>198</v>
      </c>
      <c r="D48" s="15">
        <f t="shared" ref="D48" ca="1" si="151">INDIRECT("'"&amp;$B48&amp;"'!$h$26")</f>
        <v>33353.199999999997</v>
      </c>
      <c r="E48" s="15">
        <f t="shared" ref="E48" ca="1" si="152">INDIRECT("'"&amp;$B48&amp;"'!$i$26")</f>
        <v>32653.200000000001</v>
      </c>
      <c r="F48" s="15">
        <f t="shared" ref="F48" ca="1" si="153">INDIRECT("'"&amp;$B48&amp;"'!$j$26")</f>
        <v>0</v>
      </c>
      <c r="G48" s="15">
        <f t="shared" ref="G48" ca="1" si="154">INDIRECT("'"&amp;$B48&amp;"'!$k$26")</f>
        <v>0</v>
      </c>
      <c r="H48" s="15">
        <f t="shared" ref="H48" ca="1" si="155">INDIRECT("'"&amp;$B48&amp;"'!$l$26")</f>
        <v>0</v>
      </c>
      <c r="I48" s="15">
        <f t="shared" ref="I48" ca="1" si="156">INDIRECT("'"&amp;$B48&amp;"'!$h$25")</f>
        <v>912.2</v>
      </c>
      <c r="J48" s="15">
        <f t="shared" ref="J48" ca="1" si="157">INDIRECT("'"&amp;$B48&amp;"'!$i$25")</f>
        <v>1185.7</v>
      </c>
      <c r="K48" s="15">
        <f t="shared" ref="K48" ca="1" si="158">INDIRECT("'"&amp;$B48&amp;"'!$j$25")</f>
        <v>0</v>
      </c>
      <c r="L48" s="15">
        <f t="shared" ref="L48" ca="1" si="159">INDIRECT("'"&amp;$B48&amp;"'!$k$25")</f>
        <v>0</v>
      </c>
      <c r="M48" s="15">
        <f t="shared" ref="M48" ca="1" si="160">INDIRECT("'"&amp;$B48&amp;"'!$l$25")</f>
        <v>0</v>
      </c>
      <c r="N48" s="103">
        <f ca="1">IFERROR(INDIRECT("'"&amp;$B48&amp;"'!$l$25")/INDIRECT("'"&amp;$B48&amp;"'!$l$26"),1)</f>
        <v>1</v>
      </c>
      <c r="O48" s="2">
        <v>12</v>
      </c>
    </row>
    <row r="49" spans="1:15" x14ac:dyDescent="0.25">
      <c r="A49" s="2">
        <f t="shared" si="0"/>
        <v>5</v>
      </c>
      <c r="B49" t="s">
        <v>116</v>
      </c>
      <c r="C49" t="s">
        <v>210</v>
      </c>
      <c r="D49" s="15">
        <f t="shared" ref="D49" ca="1" si="161">INDIRECT("'"&amp;$B49&amp;"'!$i$30")</f>
        <v>28156.6</v>
      </c>
      <c r="E49" s="15">
        <f t="shared" ref="E49" ca="1" si="162">INDIRECT("'"&amp;$B49&amp;"'!$j$30")</f>
        <v>0</v>
      </c>
      <c r="F49" s="15">
        <f t="shared" ref="F49" ca="1" si="163">INDIRECT("'"&amp;$B49&amp;"'!$k$30")</f>
        <v>0</v>
      </c>
      <c r="G49" s="15">
        <f t="shared" ref="G49" ca="1" si="164">INDIRECT("'"&amp;$B49&amp;"'!$l$30")</f>
        <v>0</v>
      </c>
      <c r="H49" s="15"/>
      <c r="I49" s="15">
        <f t="shared" ref="I49" ca="1" si="165">INDIRECT("'"&amp;$B49&amp;"'!$i$29")</f>
        <v>1011.1</v>
      </c>
      <c r="J49" s="15">
        <f t="shared" ref="J49" ca="1" si="166">INDIRECT("'"&amp;$B49&amp;"'!$j$29")</f>
        <v>0</v>
      </c>
      <c r="K49" s="15">
        <f t="shared" ref="K49" ca="1" si="167">INDIRECT("'"&amp;$B49&amp;"'!$k$29")</f>
        <v>0</v>
      </c>
      <c r="L49" s="15">
        <f t="shared" ref="L49" ca="1" si="168">INDIRECT("'"&amp;$B49&amp;"'!$l$29")</f>
        <v>0</v>
      </c>
      <c r="M49" s="15"/>
      <c r="N49" s="103">
        <v>1</v>
      </c>
      <c r="O49" s="2">
        <v>12</v>
      </c>
    </row>
    <row r="50" spans="1:15" x14ac:dyDescent="0.25">
      <c r="A50" s="2">
        <f t="shared" si="0"/>
        <v>5</v>
      </c>
      <c r="B50" t="s">
        <v>116</v>
      </c>
      <c r="C50" t="s">
        <v>211</v>
      </c>
      <c r="D50" s="15">
        <f t="shared" ref="D50" ca="1" si="169">INDIRECT("'"&amp;$B50&amp;"'!$j$34")</f>
        <v>0</v>
      </c>
      <c r="E50" s="15">
        <f t="shared" ref="E50" ca="1" si="170">INDIRECT("'"&amp;$B50&amp;"'!$k$34")</f>
        <v>0</v>
      </c>
      <c r="F50" s="15">
        <f t="shared" ref="F50" ca="1" si="171">INDIRECT("'"&amp;$B50&amp;"'!$l$34")</f>
        <v>0</v>
      </c>
      <c r="G50" s="15"/>
      <c r="H50" s="15"/>
      <c r="I50" s="15">
        <f t="shared" ref="I50" ca="1" si="172">INDIRECT("'"&amp;$B50&amp;"'!$j$33")</f>
        <v>0</v>
      </c>
      <c r="J50" s="15">
        <f t="shared" ref="J50" ca="1" si="173">INDIRECT("'"&amp;$B50&amp;"'!$k$33")</f>
        <v>0</v>
      </c>
      <c r="K50" s="15">
        <f t="shared" ref="K50" ca="1" si="174">INDIRECT("'"&amp;$B50&amp;"'!$l$33")</f>
        <v>0</v>
      </c>
      <c r="L50" s="15"/>
      <c r="M50" s="15"/>
      <c r="N50" s="103">
        <v>1</v>
      </c>
      <c r="O50" s="2">
        <v>12</v>
      </c>
    </row>
    <row r="51" spans="1:15" x14ac:dyDescent="0.25">
      <c r="A51" s="2">
        <f t="shared" si="0"/>
        <v>5</v>
      </c>
      <c r="B51" t="s">
        <v>116</v>
      </c>
      <c r="C51" t="s">
        <v>212</v>
      </c>
      <c r="D51" s="15">
        <f t="shared" ref="D51" ca="1" si="175">INDIRECT("'"&amp;$B51&amp;"'!$k$38")</f>
        <v>0</v>
      </c>
      <c r="E51" s="15">
        <f t="shared" ref="E51" ca="1" si="176">INDIRECT("'"&amp;$B51&amp;"'!$l$38")</f>
        <v>0</v>
      </c>
      <c r="F51" s="15"/>
      <c r="G51" s="15"/>
      <c r="H51" s="15"/>
      <c r="I51" s="15">
        <f t="shared" ref="I51" ca="1" si="177">INDIRECT("'"&amp;$B51&amp;"'!$k$37")</f>
        <v>0</v>
      </c>
      <c r="J51" s="15">
        <f t="shared" ref="J51" ca="1" si="178">INDIRECT("'"&amp;$B51&amp;"'!$l$37")</f>
        <v>0</v>
      </c>
      <c r="K51" s="15"/>
      <c r="L51" s="15"/>
      <c r="M51" s="15"/>
      <c r="N51" s="103">
        <v>1</v>
      </c>
      <c r="O51" s="2">
        <v>12</v>
      </c>
    </row>
    <row r="52" spans="1:15" x14ac:dyDescent="0.25">
      <c r="A52" s="2">
        <f t="shared" si="0"/>
        <v>5</v>
      </c>
      <c r="B52" t="s">
        <v>116</v>
      </c>
      <c r="C52" t="s">
        <v>213</v>
      </c>
      <c r="D52" s="15">
        <f t="shared" ref="D52" ca="1" si="179">INDIRECT("'"&amp;$B52&amp;"'!$l$42")</f>
        <v>0</v>
      </c>
      <c r="E52" s="15"/>
      <c r="F52" s="15"/>
      <c r="G52" s="15"/>
      <c r="H52" s="15"/>
      <c r="I52" s="15">
        <f t="shared" ref="I52" ca="1" si="180">INDIRECT("'"&amp;$B52&amp;"'!$l$41")</f>
        <v>0</v>
      </c>
      <c r="J52" s="15"/>
      <c r="K52" s="15"/>
      <c r="L52" s="15"/>
      <c r="M52" s="15"/>
      <c r="N52" s="103">
        <v>1</v>
      </c>
      <c r="O52" s="2">
        <v>12</v>
      </c>
    </row>
    <row r="53" spans="1:15" x14ac:dyDescent="0.25">
      <c r="A53" s="2">
        <f t="shared" si="0"/>
        <v>5</v>
      </c>
      <c r="B53" t="s">
        <v>114</v>
      </c>
      <c r="C53" t="s">
        <v>195</v>
      </c>
      <c r="D53" s="15">
        <f t="shared" ref="D53" ca="1" si="181">INDIRECT("'"&amp;$B53&amp;"'!$e$14")</f>
        <v>582436.65</v>
      </c>
      <c r="E53" s="15">
        <f t="shared" ref="E53" ca="1" si="182">INDIRECT("'"&amp;$B53&amp;"'!$f$14")</f>
        <v>578010.65</v>
      </c>
      <c r="F53" s="15">
        <f t="shared" ref="F53" ca="1" si="183">INDIRECT("'"&amp;$B53&amp;"'!$g$14")</f>
        <v>574822.65</v>
      </c>
      <c r="G53" s="15">
        <f t="shared" ref="G53" ca="1" si="184">INDIRECT("'"&amp;$B53&amp;"'!$h$14")</f>
        <v>572157.65</v>
      </c>
      <c r="H53" s="15">
        <f t="shared" ref="H53" ca="1" si="185">INDIRECT("'"&amp;$B53&amp;"'!$i$14")</f>
        <v>572154.15</v>
      </c>
      <c r="I53" s="15">
        <f t="shared" ref="I53" ca="1" si="186">INDIRECT("'"&amp;$B53&amp;"'!$e$13")</f>
        <v>115388.84</v>
      </c>
      <c r="J53" s="15">
        <f t="shared" ref="J53" ca="1" si="187">INDIRECT("'"&amp;$B53&amp;"'!$f$13")</f>
        <v>192688.76</v>
      </c>
      <c r="K53" s="15">
        <f t="shared" ref="K53" ca="1" si="188">INDIRECT("'"&amp;$B53&amp;"'!$g$13")</f>
        <v>255911.61</v>
      </c>
      <c r="L53" s="15">
        <f t="shared" ref="L53" ca="1" si="189">INDIRECT("'"&amp;$B53&amp;"'!$h$13")</f>
        <v>291095.83</v>
      </c>
      <c r="M53" s="15">
        <f t="shared" ref="M53" ca="1" si="190">INDIRECT("'"&amp;$B53&amp;"'!$i$13")</f>
        <v>324281.14</v>
      </c>
      <c r="N53" s="103">
        <f ca="1">IFERROR(INDIRECT("'"&amp;$B53&amp;"'!$i$13")/INDIRECT("'"&amp;$B53&amp;"'!$i$14"),1)</f>
        <v>0.56677232875091443</v>
      </c>
      <c r="O53" s="2">
        <v>12</v>
      </c>
    </row>
    <row r="54" spans="1:15" x14ac:dyDescent="0.25">
      <c r="A54" s="2">
        <f t="shared" si="0"/>
        <v>5</v>
      </c>
      <c r="B54" t="s">
        <v>114</v>
      </c>
      <c r="C54" t="s">
        <v>196</v>
      </c>
      <c r="D54" s="15">
        <f t="shared" ref="D54" ca="1" si="191">INDIRECT("'"&amp;$B54&amp;"'!$f$18")</f>
        <v>661495.55000000005</v>
      </c>
      <c r="E54" s="15">
        <f t="shared" ref="E54" ca="1" si="192">INDIRECT("'"&amp;$B54&amp;"'!$g$18")</f>
        <v>653070.55000000005</v>
      </c>
      <c r="F54" s="15">
        <f t="shared" ref="F54" ca="1" si="193">INDIRECT("'"&amp;$B54&amp;"'!$h$18")</f>
        <v>648917.55000000005</v>
      </c>
      <c r="G54" s="15">
        <f t="shared" ref="G54" ca="1" si="194">INDIRECT("'"&amp;$B54&amp;"'!$i$18")</f>
        <v>647394.55000000005</v>
      </c>
      <c r="H54" s="15">
        <f t="shared" ref="H54" ca="1" si="195">INDIRECT("'"&amp;$B54&amp;"'!$j$18")</f>
        <v>0</v>
      </c>
      <c r="I54" s="15">
        <f t="shared" ref="I54" ca="1" si="196">INDIRECT("'"&amp;$B54&amp;"'!$f$17")</f>
        <v>157326.35</v>
      </c>
      <c r="J54" s="15">
        <f t="shared" ref="J54" ca="1" si="197">INDIRECT("'"&amp;$B54&amp;"'!$g$17")</f>
        <v>233951.06</v>
      </c>
      <c r="K54" s="15">
        <f t="shared" ref="K54" ca="1" si="198">INDIRECT("'"&amp;$B54&amp;"'!$h$17")</f>
        <v>285584.81</v>
      </c>
      <c r="L54" s="15">
        <f t="shared" ref="L54" ca="1" si="199">INDIRECT("'"&amp;$B54&amp;"'!$i$17")</f>
        <v>322850.49</v>
      </c>
      <c r="M54" s="15">
        <f t="shared" ref="M54" ca="1" si="200">INDIRECT("'"&amp;$B54&amp;"'!$j$17")</f>
        <v>0</v>
      </c>
      <c r="N54" s="103">
        <f ca="1">IFERROR(INDIRECT("'"&amp;$B54&amp;"'!$j$17")/INDIRECT("'"&amp;$B54&amp;"'!$j$18"),1)</f>
        <v>1</v>
      </c>
      <c r="O54" s="2">
        <v>12</v>
      </c>
    </row>
    <row r="55" spans="1:15" x14ac:dyDescent="0.25">
      <c r="A55" s="2">
        <f t="shared" si="0"/>
        <v>5</v>
      </c>
      <c r="B55" t="s">
        <v>114</v>
      </c>
      <c r="C55" t="s">
        <v>197</v>
      </c>
      <c r="D55" s="15">
        <f t="shared" ref="D55" ca="1" si="201">INDIRECT("'"&amp;$B55&amp;"'!$g$22")</f>
        <v>708400.85</v>
      </c>
      <c r="E55" s="15">
        <f t="shared" ref="E55" ca="1" si="202">INDIRECT("'"&amp;$B55&amp;"'!$h$22")</f>
        <v>700378.85</v>
      </c>
      <c r="F55" s="15">
        <f t="shared" ref="F55" ca="1" si="203">INDIRECT("'"&amp;$B55&amp;"'!$i$22")</f>
        <v>695735.35</v>
      </c>
      <c r="G55" s="15">
        <f t="shared" ref="G55" ca="1" si="204">INDIRECT("'"&amp;$B55&amp;"'!$j$22")</f>
        <v>0</v>
      </c>
      <c r="H55" s="15">
        <f t="shared" ref="H55" ca="1" si="205">INDIRECT("'"&amp;$B55&amp;"'!$k$22")</f>
        <v>0</v>
      </c>
      <c r="I55" s="15">
        <f t="shared" ref="I55" ca="1" si="206">INDIRECT("'"&amp;$B55&amp;"'!$g$21")</f>
        <v>142628.46</v>
      </c>
      <c r="J55" s="15">
        <f t="shared" ref="J55" ca="1" si="207">INDIRECT("'"&amp;$B55&amp;"'!$h$21")</f>
        <v>211869.65</v>
      </c>
      <c r="K55" s="15">
        <f t="shared" ref="K55" ca="1" si="208">INDIRECT("'"&amp;$B55&amp;"'!$i$21")</f>
        <v>284424.2</v>
      </c>
      <c r="L55" s="15">
        <f t="shared" ref="L55" ca="1" si="209">INDIRECT("'"&amp;$B55&amp;"'!$j$21")</f>
        <v>0</v>
      </c>
      <c r="M55" s="15">
        <f t="shared" ref="M55" ca="1" si="210">INDIRECT("'"&amp;$B55&amp;"'!$k$21")</f>
        <v>0</v>
      </c>
      <c r="N55" s="103">
        <f ca="1">IFERROR(INDIRECT("'"&amp;$B55&amp;"'!$k$21")/INDIRECT("'"&amp;$B55&amp;"'!$k$22"),1)</f>
        <v>1</v>
      </c>
      <c r="O55" s="2">
        <v>12</v>
      </c>
    </row>
    <row r="56" spans="1:15" x14ac:dyDescent="0.25">
      <c r="A56" s="2">
        <f t="shared" si="0"/>
        <v>5</v>
      </c>
      <c r="B56" t="s">
        <v>114</v>
      </c>
      <c r="C56" t="s">
        <v>198</v>
      </c>
      <c r="D56" s="15">
        <f t="shared" ref="D56" ca="1" si="211">INDIRECT("'"&amp;$B56&amp;"'!$h$26")</f>
        <v>646730.35</v>
      </c>
      <c r="E56" s="15">
        <f t="shared" ref="E56" ca="1" si="212">INDIRECT("'"&amp;$B56&amp;"'!$i$26")</f>
        <v>640773.85</v>
      </c>
      <c r="F56" s="15">
        <f t="shared" ref="F56" ca="1" si="213">INDIRECT("'"&amp;$B56&amp;"'!$j$26")</f>
        <v>0</v>
      </c>
      <c r="G56" s="15">
        <f t="shared" ref="G56" ca="1" si="214">INDIRECT("'"&amp;$B56&amp;"'!$k$26")</f>
        <v>0</v>
      </c>
      <c r="H56" s="15">
        <f t="shared" ref="H56" ca="1" si="215">INDIRECT("'"&amp;$B56&amp;"'!$l$26")</f>
        <v>0</v>
      </c>
      <c r="I56" s="15">
        <f t="shared" ref="I56" ca="1" si="216">INDIRECT("'"&amp;$B56&amp;"'!$h$25")</f>
        <v>111429.81</v>
      </c>
      <c r="J56" s="15">
        <f t="shared" ref="J56" ca="1" si="217">INDIRECT("'"&amp;$B56&amp;"'!$i$25")</f>
        <v>183248.5</v>
      </c>
      <c r="K56" s="15">
        <f t="shared" ref="K56" ca="1" si="218">INDIRECT("'"&amp;$B56&amp;"'!$j$25")</f>
        <v>0</v>
      </c>
      <c r="L56" s="15">
        <f t="shared" ref="L56" ca="1" si="219">INDIRECT("'"&amp;$B56&amp;"'!$k$25")</f>
        <v>0</v>
      </c>
      <c r="M56" s="15">
        <f t="shared" ref="M56" ca="1" si="220">INDIRECT("'"&amp;$B56&amp;"'!$l$25")</f>
        <v>0</v>
      </c>
      <c r="N56" s="103">
        <f ca="1">IFERROR(INDIRECT("'"&amp;$B56&amp;"'!$l$25")/INDIRECT("'"&amp;$B56&amp;"'!$l$26"),1)</f>
        <v>1</v>
      </c>
      <c r="O56" s="2">
        <v>12</v>
      </c>
    </row>
    <row r="57" spans="1:15" x14ac:dyDescent="0.25">
      <c r="A57" s="2">
        <f t="shared" si="0"/>
        <v>5</v>
      </c>
      <c r="B57" t="s">
        <v>114</v>
      </c>
      <c r="C57" t="s">
        <v>210</v>
      </c>
      <c r="D57" s="15">
        <f t="shared" ref="D57" ca="1" si="221">INDIRECT("'"&amp;$B57&amp;"'!$i$30")</f>
        <v>709701.7</v>
      </c>
      <c r="E57" s="15">
        <f t="shared" ref="E57" ca="1" si="222">INDIRECT("'"&amp;$B57&amp;"'!$j$30")</f>
        <v>0</v>
      </c>
      <c r="F57" s="15">
        <f t="shared" ref="F57" ca="1" si="223">INDIRECT("'"&amp;$B57&amp;"'!$k$30")</f>
        <v>0</v>
      </c>
      <c r="G57" s="15">
        <f t="shared" ref="G57" ca="1" si="224">INDIRECT("'"&amp;$B57&amp;"'!$l$30")</f>
        <v>0</v>
      </c>
      <c r="H57" s="15"/>
      <c r="I57" s="15">
        <f t="shared" ref="I57" ca="1" si="225">INDIRECT("'"&amp;$B57&amp;"'!$i$29")</f>
        <v>142119.42000000001</v>
      </c>
      <c r="J57" s="15">
        <f t="shared" ref="J57" ca="1" si="226">INDIRECT("'"&amp;$B57&amp;"'!$j$29")</f>
        <v>0</v>
      </c>
      <c r="K57" s="15">
        <f t="shared" ref="K57" ca="1" si="227">INDIRECT("'"&amp;$B57&amp;"'!$k$29")</f>
        <v>0</v>
      </c>
      <c r="L57" s="15">
        <f t="shared" ref="L57" ca="1" si="228">INDIRECT("'"&amp;$B57&amp;"'!$l$29")</f>
        <v>0</v>
      </c>
      <c r="M57" s="15"/>
      <c r="N57" s="103">
        <v>1</v>
      </c>
      <c r="O57" s="2">
        <v>12</v>
      </c>
    </row>
    <row r="58" spans="1:15" x14ac:dyDescent="0.25">
      <c r="A58" s="2">
        <f t="shared" si="0"/>
        <v>5</v>
      </c>
      <c r="B58" t="s">
        <v>114</v>
      </c>
      <c r="C58" t="s">
        <v>211</v>
      </c>
      <c r="D58" s="15">
        <f t="shared" ref="D58" ca="1" si="229">INDIRECT("'"&amp;$B58&amp;"'!$j$34")</f>
        <v>0</v>
      </c>
      <c r="E58" s="15">
        <f t="shared" ref="E58" ca="1" si="230">INDIRECT("'"&amp;$B58&amp;"'!$k$34")</f>
        <v>0</v>
      </c>
      <c r="F58" s="15">
        <f t="shared" ref="F58" ca="1" si="231">INDIRECT("'"&amp;$B58&amp;"'!$l$34")</f>
        <v>0</v>
      </c>
      <c r="G58" s="15"/>
      <c r="H58" s="15"/>
      <c r="I58" s="15">
        <f t="shared" ref="I58" ca="1" si="232">INDIRECT("'"&amp;$B58&amp;"'!$j$33")</f>
        <v>0</v>
      </c>
      <c r="J58" s="15">
        <f t="shared" ref="J58" ca="1" si="233">INDIRECT("'"&amp;$B58&amp;"'!$k$33")</f>
        <v>0</v>
      </c>
      <c r="K58" s="15">
        <f t="shared" ref="K58" ca="1" si="234">INDIRECT("'"&amp;$B58&amp;"'!$l$33")</f>
        <v>0</v>
      </c>
      <c r="L58" s="15"/>
      <c r="M58" s="15"/>
      <c r="N58" s="103">
        <v>1</v>
      </c>
      <c r="O58" s="2">
        <v>12</v>
      </c>
    </row>
    <row r="59" spans="1:15" x14ac:dyDescent="0.25">
      <c r="A59" s="2">
        <f t="shared" si="0"/>
        <v>5</v>
      </c>
      <c r="B59" t="s">
        <v>114</v>
      </c>
      <c r="C59" t="s">
        <v>212</v>
      </c>
      <c r="D59" s="15">
        <f t="shared" ref="D59" ca="1" si="235">INDIRECT("'"&amp;$B59&amp;"'!$k$38")</f>
        <v>0</v>
      </c>
      <c r="E59" s="15">
        <f t="shared" ref="E59" ca="1" si="236">INDIRECT("'"&amp;$B59&amp;"'!$l$38")</f>
        <v>0</v>
      </c>
      <c r="F59" s="15"/>
      <c r="G59" s="15"/>
      <c r="H59" s="15"/>
      <c r="I59" s="15">
        <f t="shared" ref="I59" ca="1" si="237">INDIRECT("'"&amp;$B59&amp;"'!$k$37")</f>
        <v>0</v>
      </c>
      <c r="J59" s="15">
        <f t="shared" ref="J59" ca="1" si="238">INDIRECT("'"&amp;$B59&amp;"'!$l$37")</f>
        <v>0</v>
      </c>
      <c r="K59" s="15"/>
      <c r="L59" s="15"/>
      <c r="M59" s="15"/>
      <c r="N59" s="103">
        <v>1</v>
      </c>
      <c r="O59" s="2">
        <v>12</v>
      </c>
    </row>
    <row r="60" spans="1:15" x14ac:dyDescent="0.25">
      <c r="A60" s="2">
        <f t="shared" si="0"/>
        <v>5</v>
      </c>
      <c r="B60" t="s">
        <v>114</v>
      </c>
      <c r="C60" t="s">
        <v>213</v>
      </c>
      <c r="D60" s="15">
        <f t="shared" ref="D60" ca="1" si="239">INDIRECT("'"&amp;$B60&amp;"'!$l$42")</f>
        <v>0</v>
      </c>
      <c r="E60" s="15"/>
      <c r="F60" s="15"/>
      <c r="G60" s="15"/>
      <c r="H60" s="15"/>
      <c r="I60" s="15">
        <f t="shared" ref="I60" ca="1" si="240">INDIRECT("'"&amp;$B60&amp;"'!$l$41")</f>
        <v>0</v>
      </c>
      <c r="J60" s="15"/>
      <c r="K60" s="15"/>
      <c r="L60" s="15"/>
      <c r="M60" s="15"/>
      <c r="N60" s="103">
        <v>1</v>
      </c>
      <c r="O60" s="2">
        <v>12</v>
      </c>
    </row>
    <row r="61" spans="1:15" x14ac:dyDescent="0.25">
      <c r="A61" s="2">
        <f t="shared" si="0"/>
        <v>5</v>
      </c>
      <c r="B61" t="s">
        <v>111</v>
      </c>
      <c r="C61" t="s">
        <v>195</v>
      </c>
      <c r="D61" s="15">
        <f t="shared" ref="D61" ca="1" si="241">INDIRECT("'"&amp;$B61&amp;"'!$e$14")</f>
        <v>708770.09</v>
      </c>
      <c r="E61" s="15">
        <f t="shared" ref="E61" ca="1" si="242">INDIRECT("'"&amp;$B61&amp;"'!$f$14")</f>
        <v>708740.09</v>
      </c>
      <c r="F61" s="15">
        <f t="shared" ref="F61" ca="1" si="243">INDIRECT("'"&amp;$B61&amp;"'!$g$14")</f>
        <v>706734.09</v>
      </c>
      <c r="G61" s="15">
        <f t="shared" ref="G61" ca="1" si="244">INDIRECT("'"&amp;$B61&amp;"'!$h$14")</f>
        <v>705932.09</v>
      </c>
      <c r="H61" s="15">
        <f t="shared" ref="H61" ca="1" si="245">INDIRECT("'"&amp;$B61&amp;"'!$i$14")</f>
        <v>705026.09</v>
      </c>
      <c r="I61" s="15">
        <f t="shared" ref="I61" ca="1" si="246">INDIRECT("'"&amp;$B61&amp;"'!$e$13")</f>
        <v>684666.55</v>
      </c>
      <c r="J61" s="15">
        <f t="shared" ref="J61" ca="1" si="247">INDIRECT("'"&amp;$B61&amp;"'!$f$13")</f>
        <v>704954.87</v>
      </c>
      <c r="K61" s="15">
        <f t="shared" ref="K61" ca="1" si="248">INDIRECT("'"&amp;$B61&amp;"'!$g$13")</f>
        <v>701665.51</v>
      </c>
      <c r="L61" s="15">
        <f t="shared" ref="L61" ca="1" si="249">INDIRECT("'"&amp;$B61&amp;"'!$h$13")</f>
        <v>700463.68</v>
      </c>
      <c r="M61" s="15">
        <f t="shared" ref="M61" ca="1" si="250">INDIRECT("'"&amp;$B61&amp;"'!$i$13")</f>
        <v>699559.74</v>
      </c>
      <c r="N61" s="103">
        <f ca="1">IFERROR(INDIRECT("'"&amp;$B61&amp;"'!$i$13")/INDIRECT("'"&amp;$B61&amp;"'!$i$14"),1)</f>
        <v>0.99224659898756373</v>
      </c>
      <c r="O61" s="2">
        <v>12</v>
      </c>
    </row>
    <row r="62" spans="1:15" x14ac:dyDescent="0.25">
      <c r="A62" s="2">
        <f t="shared" si="0"/>
        <v>5</v>
      </c>
      <c r="B62" t="s">
        <v>111</v>
      </c>
      <c r="C62" t="s">
        <v>196</v>
      </c>
      <c r="D62" s="15">
        <f t="shared" ref="D62" ca="1" si="251">INDIRECT("'"&amp;$B62&amp;"'!$f$18")</f>
        <v>737282.73</v>
      </c>
      <c r="E62" s="15">
        <f t="shared" ref="E62" ca="1" si="252">INDIRECT("'"&amp;$B62&amp;"'!$g$18")</f>
        <v>736881.73</v>
      </c>
      <c r="F62" s="15">
        <f t="shared" ref="F62" ca="1" si="253">INDIRECT("'"&amp;$B62&amp;"'!$h$18")</f>
        <v>735574.73</v>
      </c>
      <c r="G62" s="15">
        <f t="shared" ref="G62" ca="1" si="254">INDIRECT("'"&amp;$B62&amp;"'!$i$18")</f>
        <v>735173.73</v>
      </c>
      <c r="H62" s="15">
        <f t="shared" ref="H62" ca="1" si="255">INDIRECT("'"&amp;$B62&amp;"'!$j$18")</f>
        <v>0</v>
      </c>
      <c r="I62" s="15">
        <f t="shared" ref="I62" ca="1" si="256">INDIRECT("'"&amp;$B62&amp;"'!$f$17")</f>
        <v>694238.11</v>
      </c>
      <c r="J62" s="15">
        <f t="shared" ref="J62" ca="1" si="257">INDIRECT("'"&amp;$B62&amp;"'!$g$17")</f>
        <v>732207.13</v>
      </c>
      <c r="K62" s="15">
        <f t="shared" ref="K62" ca="1" si="258">INDIRECT("'"&amp;$B62&amp;"'!$h$17")</f>
        <v>731009.51</v>
      </c>
      <c r="L62" s="15">
        <f t="shared" ref="L62" ca="1" si="259">INDIRECT("'"&amp;$B62&amp;"'!$i$17")</f>
        <v>730617.52</v>
      </c>
      <c r="M62" s="15">
        <f t="shared" ref="M62" ca="1" si="260">INDIRECT("'"&amp;$B62&amp;"'!$j$17")</f>
        <v>0</v>
      </c>
      <c r="N62" s="103">
        <f ca="1">IFERROR(INDIRECT("'"&amp;$B62&amp;"'!$j$17")/INDIRECT("'"&amp;$B62&amp;"'!$j$18"),1)</f>
        <v>1</v>
      </c>
      <c r="O62" s="2">
        <v>12</v>
      </c>
    </row>
    <row r="63" spans="1:15" x14ac:dyDescent="0.25">
      <c r="A63" s="2">
        <f t="shared" si="0"/>
        <v>5</v>
      </c>
      <c r="B63" t="s">
        <v>111</v>
      </c>
      <c r="C63" t="s">
        <v>197</v>
      </c>
      <c r="D63" s="15">
        <f t="shared" ref="D63" ca="1" si="261">INDIRECT("'"&amp;$B63&amp;"'!$g$22")</f>
        <v>732643.06</v>
      </c>
      <c r="E63" s="15">
        <f t="shared" ref="E63" ca="1" si="262">INDIRECT("'"&amp;$B63&amp;"'!$h$22")</f>
        <v>731336.06</v>
      </c>
      <c r="F63" s="15">
        <f t="shared" ref="F63" ca="1" si="263">INDIRECT("'"&amp;$B63&amp;"'!$i$22")</f>
        <v>728722.06</v>
      </c>
      <c r="G63" s="15">
        <f t="shared" ref="G63" ca="1" si="264">INDIRECT("'"&amp;$B63&amp;"'!$j$22")</f>
        <v>0</v>
      </c>
      <c r="H63" s="15">
        <f t="shared" ref="H63" ca="1" si="265">INDIRECT("'"&amp;$B63&amp;"'!$k$22")</f>
        <v>0</v>
      </c>
      <c r="I63" s="15">
        <f t="shared" ref="I63" ca="1" si="266">INDIRECT("'"&amp;$B63&amp;"'!$g$21")</f>
        <v>674818.7</v>
      </c>
      <c r="J63" s="15">
        <f t="shared" ref="J63" ca="1" si="267">INDIRECT("'"&amp;$B63&amp;"'!$h$21")</f>
        <v>715308.79</v>
      </c>
      <c r="K63" s="15">
        <f t="shared" ref="K63" ca="1" si="268">INDIRECT("'"&amp;$B63&amp;"'!$i$21")</f>
        <v>714559.42</v>
      </c>
      <c r="L63" s="15">
        <f t="shared" ref="L63" ca="1" si="269">INDIRECT("'"&amp;$B63&amp;"'!$j$21")</f>
        <v>0</v>
      </c>
      <c r="M63" s="15">
        <f t="shared" ref="M63" ca="1" si="270">INDIRECT("'"&amp;$B63&amp;"'!$k$21")</f>
        <v>0</v>
      </c>
      <c r="N63" s="103">
        <f ca="1">IFERROR(INDIRECT("'"&amp;$B63&amp;"'!$k$21")/INDIRECT("'"&amp;$B63&amp;"'!$k$22"),1)</f>
        <v>1</v>
      </c>
      <c r="O63" s="2">
        <v>12</v>
      </c>
    </row>
    <row r="64" spans="1:15" x14ac:dyDescent="0.25">
      <c r="A64" s="2">
        <f t="shared" si="0"/>
        <v>5</v>
      </c>
      <c r="B64" t="s">
        <v>111</v>
      </c>
      <c r="C64" t="s">
        <v>198</v>
      </c>
      <c r="D64" s="15">
        <f t="shared" ref="D64" ca="1" si="271">INDIRECT("'"&amp;$B64&amp;"'!$h$26")</f>
        <v>609476.69999999995</v>
      </c>
      <c r="E64" s="15">
        <f t="shared" ref="E64" ca="1" si="272">INDIRECT("'"&amp;$B64&amp;"'!$i$26")</f>
        <v>609339.69999999995</v>
      </c>
      <c r="F64" s="15">
        <f t="shared" ref="F64" ca="1" si="273">INDIRECT("'"&amp;$B64&amp;"'!$j$26")</f>
        <v>0</v>
      </c>
      <c r="G64" s="15">
        <f t="shared" ref="G64" ca="1" si="274">INDIRECT("'"&amp;$B64&amp;"'!$k$26")</f>
        <v>0</v>
      </c>
      <c r="H64" s="15">
        <f t="shared" ref="H64" ca="1" si="275">INDIRECT("'"&amp;$B64&amp;"'!$l$26")</f>
        <v>0</v>
      </c>
      <c r="I64" s="15">
        <f t="shared" ref="I64" ca="1" si="276">INDIRECT("'"&amp;$B64&amp;"'!$h$25")</f>
        <v>576765.97</v>
      </c>
      <c r="J64" s="15">
        <f t="shared" ref="J64" ca="1" si="277">INDIRECT("'"&amp;$B64&amp;"'!$i$25")</f>
        <v>602461.18999999994</v>
      </c>
      <c r="K64" s="15">
        <f t="shared" ref="K64" ca="1" si="278">INDIRECT("'"&amp;$B64&amp;"'!$j$25")</f>
        <v>0</v>
      </c>
      <c r="L64" s="15">
        <f t="shared" ref="L64" ca="1" si="279">INDIRECT("'"&amp;$B64&amp;"'!$k$25")</f>
        <v>0</v>
      </c>
      <c r="M64" s="15">
        <f t="shared" ref="M64" ca="1" si="280">INDIRECT("'"&amp;$B64&amp;"'!$l$25")</f>
        <v>0</v>
      </c>
      <c r="N64" s="103">
        <f ca="1">IFERROR(INDIRECT("'"&amp;$B64&amp;"'!$l$25")/INDIRECT("'"&amp;$B64&amp;"'!$l$26"),1)</f>
        <v>1</v>
      </c>
      <c r="O64" s="2">
        <v>12</v>
      </c>
    </row>
    <row r="65" spans="1:15" x14ac:dyDescent="0.25">
      <c r="A65" s="2">
        <f t="shared" si="0"/>
        <v>5</v>
      </c>
      <c r="B65" t="s">
        <v>111</v>
      </c>
      <c r="C65" t="s">
        <v>210</v>
      </c>
      <c r="D65" s="15">
        <f t="shared" ref="D65" ca="1" si="281">INDIRECT("'"&amp;$B65&amp;"'!$i$30")</f>
        <v>411850.29</v>
      </c>
      <c r="E65" s="15">
        <f t="shared" ref="E65" ca="1" si="282">INDIRECT("'"&amp;$B65&amp;"'!$j$30")</f>
        <v>0</v>
      </c>
      <c r="F65" s="15">
        <f t="shared" ref="F65" ca="1" si="283">INDIRECT("'"&amp;$B65&amp;"'!$k$30")</f>
        <v>0</v>
      </c>
      <c r="G65" s="15">
        <f t="shared" ref="G65" ca="1" si="284">INDIRECT("'"&amp;$B65&amp;"'!$l$30")</f>
        <v>0</v>
      </c>
      <c r="H65" s="15"/>
      <c r="I65" s="15">
        <f t="shared" ref="I65" ca="1" si="285">INDIRECT("'"&amp;$B65&amp;"'!$i$29")</f>
        <v>365931.24</v>
      </c>
      <c r="J65" s="15">
        <f t="shared" ref="J65" ca="1" si="286">INDIRECT("'"&amp;$B65&amp;"'!$j$29")</f>
        <v>0</v>
      </c>
      <c r="K65" s="15">
        <f t="shared" ref="K65" ca="1" si="287">INDIRECT("'"&amp;$B65&amp;"'!$k$29")</f>
        <v>0</v>
      </c>
      <c r="L65" s="15">
        <f t="shared" ref="L65" ca="1" si="288">INDIRECT("'"&amp;$B65&amp;"'!$l$29")</f>
        <v>0</v>
      </c>
      <c r="M65" s="15"/>
      <c r="N65" s="103">
        <v>1</v>
      </c>
      <c r="O65" s="2">
        <v>12</v>
      </c>
    </row>
    <row r="66" spans="1:15" x14ac:dyDescent="0.25">
      <c r="A66" s="2">
        <f t="shared" si="0"/>
        <v>5</v>
      </c>
      <c r="B66" t="s">
        <v>111</v>
      </c>
      <c r="C66" t="s">
        <v>211</v>
      </c>
      <c r="D66" s="15">
        <f t="shared" ref="D66" ca="1" si="289">INDIRECT("'"&amp;$B66&amp;"'!$j$34")</f>
        <v>0</v>
      </c>
      <c r="E66" s="15">
        <f t="shared" ref="E66" ca="1" si="290">INDIRECT("'"&amp;$B66&amp;"'!$k$34")</f>
        <v>0</v>
      </c>
      <c r="F66" s="15">
        <f t="shared" ref="F66" ca="1" si="291">INDIRECT("'"&amp;$B66&amp;"'!$l$34")</f>
        <v>0</v>
      </c>
      <c r="G66" s="15"/>
      <c r="H66" s="15"/>
      <c r="I66" s="15">
        <f t="shared" ref="I66" ca="1" si="292">INDIRECT("'"&amp;$B66&amp;"'!$j$33")</f>
        <v>0</v>
      </c>
      <c r="J66" s="15">
        <f t="shared" ref="J66" ca="1" si="293">INDIRECT("'"&amp;$B66&amp;"'!$k$33")</f>
        <v>0</v>
      </c>
      <c r="K66" s="15">
        <f t="shared" ref="K66" ca="1" si="294">INDIRECT("'"&amp;$B66&amp;"'!$l$33")</f>
        <v>0</v>
      </c>
      <c r="L66" s="15"/>
      <c r="M66" s="15"/>
      <c r="N66" s="103">
        <v>1</v>
      </c>
      <c r="O66" s="2">
        <v>12</v>
      </c>
    </row>
    <row r="67" spans="1:15" x14ac:dyDescent="0.25">
      <c r="A67" s="2">
        <f t="shared" si="0"/>
        <v>5</v>
      </c>
      <c r="B67" t="s">
        <v>111</v>
      </c>
      <c r="C67" t="s">
        <v>212</v>
      </c>
      <c r="D67" s="15">
        <f t="shared" ref="D67" ca="1" si="295">INDIRECT("'"&amp;$B67&amp;"'!$k$38")</f>
        <v>0</v>
      </c>
      <c r="E67" s="15">
        <f t="shared" ref="E67" ca="1" si="296">INDIRECT("'"&amp;$B67&amp;"'!$l$38")</f>
        <v>0</v>
      </c>
      <c r="F67" s="15"/>
      <c r="G67" s="15"/>
      <c r="H67" s="15"/>
      <c r="I67" s="15">
        <f t="shared" ref="I67" ca="1" si="297">INDIRECT("'"&amp;$B67&amp;"'!$k$37")</f>
        <v>0</v>
      </c>
      <c r="J67" s="15">
        <f t="shared" ref="J67" ca="1" si="298">INDIRECT("'"&amp;$B67&amp;"'!$l$37")</f>
        <v>0</v>
      </c>
      <c r="K67" s="15"/>
      <c r="L67" s="15"/>
      <c r="M67" s="15"/>
      <c r="N67" s="103">
        <v>1</v>
      </c>
      <c r="O67" s="2">
        <v>12</v>
      </c>
    </row>
    <row r="68" spans="1:15" x14ac:dyDescent="0.25">
      <c r="A68" s="2">
        <f t="shared" si="0"/>
        <v>5</v>
      </c>
      <c r="B68" t="s">
        <v>111</v>
      </c>
      <c r="C68" t="s">
        <v>213</v>
      </c>
      <c r="D68" s="15">
        <f t="shared" ref="D68" ca="1" si="299">INDIRECT("'"&amp;$B68&amp;"'!$l$42")</f>
        <v>0</v>
      </c>
      <c r="E68" s="15"/>
      <c r="F68" s="15"/>
      <c r="G68" s="15"/>
      <c r="H68" s="15"/>
      <c r="I68" s="15">
        <f t="shared" ref="I68" ca="1" si="300">INDIRECT("'"&amp;$B68&amp;"'!$l$41")</f>
        <v>0</v>
      </c>
      <c r="J68" s="15"/>
      <c r="K68" s="15"/>
      <c r="L68" s="15"/>
      <c r="M68" s="15"/>
      <c r="N68" s="103">
        <v>1</v>
      </c>
      <c r="O68" s="2">
        <v>12</v>
      </c>
    </row>
    <row r="69" spans="1:15" x14ac:dyDescent="0.25">
      <c r="A69" s="2">
        <f t="shared" si="0"/>
        <v>5</v>
      </c>
      <c r="B69" t="s">
        <v>112</v>
      </c>
      <c r="C69" t="s">
        <v>195</v>
      </c>
      <c r="D69" s="15">
        <f t="shared" ref="D69" ca="1" si="301">INDIRECT("'"&amp;$B69&amp;"'!$e$14")</f>
        <v>487920.14</v>
      </c>
      <c r="E69" s="15">
        <f t="shared" ref="E69" ca="1" si="302">INDIRECT("'"&amp;$B69&amp;"'!$f$14")</f>
        <v>487910.14</v>
      </c>
      <c r="F69" s="15">
        <f t="shared" ref="F69" ca="1" si="303">INDIRECT("'"&amp;$B69&amp;"'!$g$14")</f>
        <v>487910.14</v>
      </c>
      <c r="G69" s="15">
        <f t="shared" ref="G69" ca="1" si="304">INDIRECT("'"&amp;$B69&amp;"'!$h$14")</f>
        <v>487910.14</v>
      </c>
      <c r="H69" s="15">
        <f t="shared" ref="H69" ca="1" si="305">INDIRECT("'"&amp;$B69&amp;"'!$i$14")</f>
        <v>487910.14</v>
      </c>
      <c r="I69" s="15">
        <f t="shared" ref="I69" ca="1" si="306">INDIRECT("'"&amp;$B69&amp;"'!$e$13")</f>
        <v>475406.14</v>
      </c>
      <c r="J69" s="15">
        <f t="shared" ref="J69" ca="1" si="307">INDIRECT("'"&amp;$B69&amp;"'!$f$13")</f>
        <v>484694.14</v>
      </c>
      <c r="K69" s="15">
        <f t="shared" ref="K69" ca="1" si="308">INDIRECT("'"&amp;$B69&amp;"'!$g$13")</f>
        <v>484694.14</v>
      </c>
      <c r="L69" s="15">
        <f t="shared" ref="L69" ca="1" si="309">INDIRECT("'"&amp;$B69&amp;"'!$h$13")</f>
        <v>485114.14</v>
      </c>
      <c r="M69" s="15">
        <f t="shared" ref="M69" ca="1" si="310">INDIRECT("'"&amp;$B69&amp;"'!$i$13")</f>
        <v>485114.14</v>
      </c>
      <c r="N69" s="103">
        <f ca="1">IFERROR(INDIRECT("'"&amp;$B69&amp;"'!$i$13")/INDIRECT("'"&amp;$B69&amp;"'!$i$14"),1)</f>
        <v>0.99426943658108846</v>
      </c>
      <c r="O69" s="2">
        <v>12</v>
      </c>
    </row>
    <row r="70" spans="1:15" x14ac:dyDescent="0.25">
      <c r="A70" s="2">
        <f t="shared" si="0"/>
        <v>5</v>
      </c>
      <c r="B70" t="s">
        <v>112</v>
      </c>
      <c r="C70" t="s">
        <v>196</v>
      </c>
      <c r="D70" s="15">
        <f t="shared" ref="D70" ca="1" si="311">INDIRECT("'"&amp;$B70&amp;"'!$f$18")</f>
        <v>581496.12</v>
      </c>
      <c r="E70" s="15">
        <f t="shared" ref="E70" ca="1" si="312">INDIRECT("'"&amp;$B70&amp;"'!$g$18")</f>
        <v>581391.12</v>
      </c>
      <c r="F70" s="15">
        <f t="shared" ref="F70" ca="1" si="313">INDIRECT("'"&amp;$B70&amp;"'!$h$18")</f>
        <v>581391.12</v>
      </c>
      <c r="G70" s="15">
        <f t="shared" ref="G70" ca="1" si="314">INDIRECT("'"&amp;$B70&amp;"'!$i$18")</f>
        <v>581371.12</v>
      </c>
      <c r="H70" s="15">
        <f t="shared" ref="H70" ca="1" si="315">INDIRECT("'"&amp;$B70&amp;"'!$j$18")</f>
        <v>0</v>
      </c>
      <c r="I70" s="15">
        <f t="shared" ref="I70" ca="1" si="316">INDIRECT("'"&amp;$B70&amp;"'!$f$17")</f>
        <v>555771.34</v>
      </c>
      <c r="J70" s="15">
        <f t="shared" ref="J70" ca="1" si="317">INDIRECT("'"&amp;$B70&amp;"'!$g$17")</f>
        <v>578716.98</v>
      </c>
      <c r="K70" s="15">
        <f t="shared" ref="K70" ca="1" si="318">INDIRECT("'"&amp;$B70&amp;"'!$h$17")</f>
        <v>578783.93999999994</v>
      </c>
      <c r="L70" s="15">
        <f t="shared" ref="L70" ca="1" si="319">INDIRECT("'"&amp;$B70&amp;"'!$i$17")</f>
        <v>578783.93999999994</v>
      </c>
      <c r="M70" s="15">
        <f t="shared" ref="M70" ca="1" si="320">INDIRECT("'"&amp;$B70&amp;"'!$j$17")</f>
        <v>0</v>
      </c>
      <c r="N70" s="103">
        <f ca="1">IFERROR(INDIRECT("'"&amp;$B70&amp;"'!$j$17")/INDIRECT("'"&amp;$B70&amp;"'!$j$18"),1)</f>
        <v>1</v>
      </c>
      <c r="O70" s="2">
        <v>12</v>
      </c>
    </row>
    <row r="71" spans="1:15" x14ac:dyDescent="0.25">
      <c r="A71" s="2">
        <f t="shared" si="0"/>
        <v>5</v>
      </c>
      <c r="B71" t="s">
        <v>112</v>
      </c>
      <c r="C71" t="s">
        <v>197</v>
      </c>
      <c r="D71" s="15">
        <f t="shared" ref="D71" ca="1" si="321">INDIRECT("'"&amp;$B71&amp;"'!$g$22")</f>
        <v>552598.56000000006</v>
      </c>
      <c r="E71" s="15">
        <f t="shared" ref="E71" ca="1" si="322">INDIRECT("'"&amp;$B71&amp;"'!$h$22")</f>
        <v>552598.56000000006</v>
      </c>
      <c r="F71" s="15">
        <f t="shared" ref="F71" ca="1" si="323">INDIRECT("'"&amp;$B71&amp;"'!$i$22")</f>
        <v>552598.56000000006</v>
      </c>
      <c r="G71" s="15">
        <f t="shared" ref="G71" ca="1" si="324">INDIRECT("'"&amp;$B71&amp;"'!$j$22")</f>
        <v>0</v>
      </c>
      <c r="H71" s="15">
        <f t="shared" ref="H71" ca="1" si="325">INDIRECT("'"&amp;$B71&amp;"'!$k$22")</f>
        <v>0</v>
      </c>
      <c r="I71" s="15">
        <f t="shared" ref="I71" ca="1" si="326">INDIRECT("'"&amp;$B71&amp;"'!$g$21")</f>
        <v>533395.72</v>
      </c>
      <c r="J71" s="15">
        <f t="shared" ref="J71" ca="1" si="327">INDIRECT("'"&amp;$B71&amp;"'!$h$21")</f>
        <v>550130.72</v>
      </c>
      <c r="K71" s="15">
        <f t="shared" ref="K71" ca="1" si="328">INDIRECT("'"&amp;$B71&amp;"'!$i$21")</f>
        <v>550140.72</v>
      </c>
      <c r="L71" s="15">
        <f t="shared" ref="L71" ca="1" si="329">INDIRECT("'"&amp;$B71&amp;"'!$j$21")</f>
        <v>0</v>
      </c>
      <c r="M71" s="15">
        <f t="shared" ref="M71" ca="1" si="330">INDIRECT("'"&amp;$B71&amp;"'!$k$21")</f>
        <v>0</v>
      </c>
      <c r="N71" s="103">
        <f ca="1">IFERROR(INDIRECT("'"&amp;$B71&amp;"'!$k$21")/INDIRECT("'"&amp;$B71&amp;"'!$k$22"),1)</f>
        <v>1</v>
      </c>
      <c r="O71" s="2">
        <v>12</v>
      </c>
    </row>
    <row r="72" spans="1:15" x14ac:dyDescent="0.25">
      <c r="A72" s="2">
        <f t="shared" si="0"/>
        <v>5</v>
      </c>
      <c r="B72" t="s">
        <v>112</v>
      </c>
      <c r="C72" t="s">
        <v>198</v>
      </c>
      <c r="D72" s="15">
        <f t="shared" ref="D72" ca="1" si="331">INDIRECT("'"&amp;$B72&amp;"'!$h$26")</f>
        <v>507059.64</v>
      </c>
      <c r="E72" s="15">
        <f t="shared" ref="E72" ca="1" si="332">INDIRECT("'"&amp;$B72&amp;"'!$i$26")</f>
        <v>507059.64</v>
      </c>
      <c r="F72" s="15">
        <f t="shared" ref="F72" ca="1" si="333">INDIRECT("'"&amp;$B72&amp;"'!$j$26")</f>
        <v>0</v>
      </c>
      <c r="G72" s="15">
        <f t="shared" ref="G72" ca="1" si="334">INDIRECT("'"&amp;$B72&amp;"'!$k$26")</f>
        <v>0</v>
      </c>
      <c r="H72" s="15">
        <f t="shared" ref="H72" ca="1" si="335">INDIRECT("'"&amp;$B72&amp;"'!$l$26")</f>
        <v>0</v>
      </c>
      <c r="I72" s="15">
        <f t="shared" ref="I72" ca="1" si="336">INDIRECT("'"&amp;$B72&amp;"'!$h$25")</f>
        <v>491596.14</v>
      </c>
      <c r="J72" s="15">
        <f t="shared" ref="J72" ca="1" si="337">INDIRECT("'"&amp;$B72&amp;"'!$i$25")</f>
        <v>504511.14</v>
      </c>
      <c r="K72" s="15">
        <f t="shared" ref="K72" ca="1" si="338">INDIRECT("'"&amp;$B72&amp;"'!$j$25")</f>
        <v>0</v>
      </c>
      <c r="L72" s="15">
        <f t="shared" ref="L72" ca="1" si="339">INDIRECT("'"&amp;$B72&amp;"'!$k$25")</f>
        <v>0</v>
      </c>
      <c r="M72" s="15">
        <f t="shared" ref="M72" ca="1" si="340">INDIRECT("'"&amp;$B72&amp;"'!$l$25")</f>
        <v>0</v>
      </c>
      <c r="N72" s="103">
        <f ca="1">IFERROR(INDIRECT("'"&amp;$B72&amp;"'!$l$25")/INDIRECT("'"&amp;$B72&amp;"'!$l$26"),1)</f>
        <v>1</v>
      </c>
      <c r="O72" s="2">
        <v>12</v>
      </c>
    </row>
    <row r="73" spans="1:15" x14ac:dyDescent="0.25">
      <c r="A73" s="2">
        <f t="shared" si="0"/>
        <v>5</v>
      </c>
      <c r="B73" t="s">
        <v>112</v>
      </c>
      <c r="C73" t="s">
        <v>210</v>
      </c>
      <c r="D73" s="15">
        <f t="shared" ref="D73" ca="1" si="341">INDIRECT("'"&amp;$B73&amp;"'!$i$30")</f>
        <v>566163.69999999995</v>
      </c>
      <c r="E73" s="15">
        <f t="shared" ref="E73" ca="1" si="342">INDIRECT("'"&amp;$B73&amp;"'!$j$30")</f>
        <v>0</v>
      </c>
      <c r="F73" s="15">
        <f t="shared" ref="F73" ca="1" si="343">INDIRECT("'"&amp;$B73&amp;"'!$k$30")</f>
        <v>0</v>
      </c>
      <c r="G73" s="15">
        <f t="shared" ref="G73" ca="1" si="344">INDIRECT("'"&amp;$B73&amp;"'!$l$30")</f>
        <v>0</v>
      </c>
      <c r="H73" s="15"/>
      <c r="I73" s="15">
        <f t="shared" ref="I73" ca="1" si="345">INDIRECT("'"&amp;$B73&amp;"'!$i$29")</f>
        <v>526477.47</v>
      </c>
      <c r="J73" s="15">
        <f t="shared" ref="J73" ca="1" si="346">INDIRECT("'"&amp;$B73&amp;"'!$j$29")</f>
        <v>0</v>
      </c>
      <c r="K73" s="15">
        <f t="shared" ref="K73" ca="1" si="347">INDIRECT("'"&amp;$B73&amp;"'!$k$29")</f>
        <v>0</v>
      </c>
      <c r="L73" s="15">
        <f t="shared" ref="L73" ca="1" si="348">INDIRECT("'"&amp;$B73&amp;"'!$l$29")</f>
        <v>0</v>
      </c>
      <c r="M73" s="15"/>
      <c r="N73" s="103">
        <v>1</v>
      </c>
      <c r="O73" s="2">
        <v>12</v>
      </c>
    </row>
    <row r="74" spans="1:15" x14ac:dyDescent="0.25">
      <c r="A74" s="2">
        <f t="shared" si="0"/>
        <v>5</v>
      </c>
      <c r="B74" t="s">
        <v>112</v>
      </c>
      <c r="C74" t="s">
        <v>211</v>
      </c>
      <c r="D74" s="15">
        <f t="shared" ref="D74" ca="1" si="349">INDIRECT("'"&amp;$B74&amp;"'!$j$34")</f>
        <v>0</v>
      </c>
      <c r="E74" s="15">
        <f t="shared" ref="E74" ca="1" si="350">INDIRECT("'"&amp;$B74&amp;"'!$k$34")</f>
        <v>0</v>
      </c>
      <c r="F74" s="15">
        <f t="shared" ref="F74" ca="1" si="351">INDIRECT("'"&amp;$B74&amp;"'!$l$34")</f>
        <v>0</v>
      </c>
      <c r="G74" s="15"/>
      <c r="H74" s="15"/>
      <c r="I74" s="15">
        <f t="shared" ref="I74" ca="1" si="352">INDIRECT("'"&amp;$B74&amp;"'!$j$33")</f>
        <v>0</v>
      </c>
      <c r="J74" s="15">
        <f t="shared" ref="J74" ca="1" si="353">INDIRECT("'"&amp;$B74&amp;"'!$k$33")</f>
        <v>0</v>
      </c>
      <c r="K74" s="15">
        <f t="shared" ref="K74" ca="1" si="354">INDIRECT("'"&amp;$B74&amp;"'!$l$33")</f>
        <v>0</v>
      </c>
      <c r="L74" s="15"/>
      <c r="M74" s="15"/>
      <c r="N74" s="103">
        <v>1</v>
      </c>
      <c r="O74" s="2">
        <v>12</v>
      </c>
    </row>
    <row r="75" spans="1:15" x14ac:dyDescent="0.25">
      <c r="A75" s="2">
        <f t="shared" si="0"/>
        <v>5</v>
      </c>
      <c r="B75" t="s">
        <v>112</v>
      </c>
      <c r="C75" t="s">
        <v>212</v>
      </c>
      <c r="D75" s="15">
        <f t="shared" ref="D75" ca="1" si="355">INDIRECT("'"&amp;$B75&amp;"'!$k$38")</f>
        <v>0</v>
      </c>
      <c r="E75" s="15">
        <f t="shared" ref="E75" ca="1" si="356">INDIRECT("'"&amp;$B75&amp;"'!$l$38")</f>
        <v>0</v>
      </c>
      <c r="F75" s="15"/>
      <c r="G75" s="15"/>
      <c r="H75" s="15"/>
      <c r="I75" s="15">
        <f t="shared" ref="I75" ca="1" si="357">INDIRECT("'"&amp;$B75&amp;"'!$k$37")</f>
        <v>0</v>
      </c>
      <c r="J75" s="15">
        <f t="shared" ref="J75" ca="1" si="358">INDIRECT("'"&amp;$B75&amp;"'!$l$37")</f>
        <v>0</v>
      </c>
      <c r="K75" s="15"/>
      <c r="L75" s="15"/>
      <c r="M75" s="15"/>
      <c r="N75" s="103">
        <v>1</v>
      </c>
      <c r="O75" s="2">
        <v>12</v>
      </c>
    </row>
    <row r="76" spans="1:15" x14ac:dyDescent="0.25">
      <c r="A76" s="2">
        <f t="shared" si="0"/>
        <v>5</v>
      </c>
      <c r="B76" t="s">
        <v>112</v>
      </c>
      <c r="C76" t="s">
        <v>213</v>
      </c>
      <c r="D76" s="15">
        <f t="shared" ref="D76" ca="1" si="359">INDIRECT("'"&amp;$B76&amp;"'!$l$42")</f>
        <v>0</v>
      </c>
      <c r="E76" s="15"/>
      <c r="F76" s="15"/>
      <c r="G76" s="15"/>
      <c r="H76" s="15"/>
      <c r="I76" s="15">
        <f t="shared" ref="I76" ca="1" si="360">INDIRECT("'"&amp;$B76&amp;"'!$l$41")</f>
        <v>0</v>
      </c>
      <c r="J76" s="15"/>
      <c r="K76" s="15"/>
      <c r="L76" s="15"/>
      <c r="M76" s="15"/>
      <c r="N76" s="103">
        <v>1</v>
      </c>
      <c r="O76" s="2">
        <v>12</v>
      </c>
    </row>
    <row r="77" spans="1:15" x14ac:dyDescent="0.25">
      <c r="A77" s="2">
        <f t="shared" si="0"/>
        <v>5</v>
      </c>
      <c r="B77" t="s">
        <v>115</v>
      </c>
      <c r="C77" t="s">
        <v>195</v>
      </c>
      <c r="D77" s="15">
        <f t="shared" ref="D77" ca="1" si="361">INDIRECT("'"&amp;$B77&amp;"'!$e$14")</f>
        <v>1139756.1000000001</v>
      </c>
      <c r="E77" s="15">
        <f t="shared" ref="E77" ca="1" si="362">INDIRECT("'"&amp;$B77&amp;"'!$f$14")</f>
        <v>1088001.8999999999</v>
      </c>
      <c r="F77" s="15">
        <f t="shared" ref="F77" ca="1" si="363">INDIRECT("'"&amp;$B77&amp;"'!$g$14")</f>
        <v>1085545.8999999999</v>
      </c>
      <c r="G77" s="15">
        <f t="shared" ref="G77" ca="1" si="364">INDIRECT("'"&amp;$B77&amp;"'!$h$14")</f>
        <v>1085426.8999999999</v>
      </c>
      <c r="H77" s="15">
        <f t="shared" ref="H77" ca="1" si="365">INDIRECT("'"&amp;$B77&amp;"'!$i$14")</f>
        <v>1084642.8999999999</v>
      </c>
      <c r="I77" s="15">
        <f t="shared" ref="I77" ca="1" si="366">INDIRECT("'"&amp;$B77&amp;"'!$e$13")</f>
        <v>593037.85</v>
      </c>
      <c r="J77" s="15">
        <f t="shared" ref="J77" ca="1" si="367">INDIRECT("'"&amp;$B77&amp;"'!$f$13")</f>
        <v>896156.16000000003</v>
      </c>
      <c r="K77" s="15">
        <f t="shared" ref="K77" ca="1" si="368">INDIRECT("'"&amp;$B77&amp;"'!$g$13")</f>
        <v>954407.08</v>
      </c>
      <c r="L77" s="15">
        <f t="shared" ref="L77" ca="1" si="369">INDIRECT("'"&amp;$B77&amp;"'!$h$13")</f>
        <v>972519.32</v>
      </c>
      <c r="M77" s="15">
        <f t="shared" ref="M77" ca="1" si="370">INDIRECT("'"&amp;$B77&amp;"'!$i$13")</f>
        <v>984138.82</v>
      </c>
      <c r="N77" s="103">
        <f ca="1">IFERROR(INDIRECT("'"&amp;$B77&amp;"'!$i$13")/INDIRECT("'"&amp;$B77&amp;"'!$i$14"),1)</f>
        <v>0.90733901452726984</v>
      </c>
      <c r="O77" s="2">
        <v>12</v>
      </c>
    </row>
    <row r="78" spans="1:15" x14ac:dyDescent="0.25">
      <c r="A78" s="2">
        <f t="shared" si="0"/>
        <v>5</v>
      </c>
      <c r="B78" t="s">
        <v>115</v>
      </c>
      <c r="C78" t="s">
        <v>196</v>
      </c>
      <c r="D78" s="15">
        <f t="shared" ref="D78" ca="1" si="371">INDIRECT("'"&amp;$B78&amp;"'!$f$18")</f>
        <v>1605788.95</v>
      </c>
      <c r="E78" s="15">
        <f t="shared" ref="E78" ca="1" si="372">INDIRECT("'"&amp;$B78&amp;"'!$g$18")</f>
        <v>1542039.65</v>
      </c>
      <c r="F78" s="15">
        <f t="shared" ref="F78" ca="1" si="373">INDIRECT("'"&amp;$B78&amp;"'!$h$18")</f>
        <v>1537809.65</v>
      </c>
      <c r="G78" s="15">
        <f t="shared" ref="G78" ca="1" si="374">INDIRECT("'"&amp;$B78&amp;"'!$i$18")</f>
        <v>1536385.56</v>
      </c>
      <c r="H78" s="15">
        <f t="shared" ref="H78" ca="1" si="375">INDIRECT("'"&amp;$B78&amp;"'!$j$18")</f>
        <v>0</v>
      </c>
      <c r="I78" s="15">
        <f t="shared" ref="I78" ca="1" si="376">INDIRECT("'"&amp;$B78&amp;"'!$f$17")</f>
        <v>901177.09</v>
      </c>
      <c r="J78" s="15">
        <f t="shared" ref="J78" ca="1" si="377">INDIRECT("'"&amp;$B78&amp;"'!$g$17")</f>
        <v>1259669.56</v>
      </c>
      <c r="K78" s="15">
        <f t="shared" ref="K78" ca="1" si="378">INDIRECT("'"&amp;$B78&amp;"'!$h$17")</f>
        <v>1334452.45</v>
      </c>
      <c r="L78" s="15">
        <f t="shared" ref="L78" ca="1" si="379">INDIRECT("'"&amp;$B78&amp;"'!$i$17")</f>
        <v>1364896.96</v>
      </c>
      <c r="M78" s="15">
        <f t="shared" ref="M78" ca="1" si="380">INDIRECT("'"&amp;$B78&amp;"'!$j$17")</f>
        <v>0</v>
      </c>
      <c r="N78" s="103">
        <f ca="1">IFERROR(INDIRECT("'"&amp;$B78&amp;"'!$j$17")/INDIRECT("'"&amp;$B78&amp;"'!$j$18"),1)</f>
        <v>1</v>
      </c>
      <c r="O78" s="2">
        <v>12</v>
      </c>
    </row>
    <row r="79" spans="1:15" x14ac:dyDescent="0.25">
      <c r="A79" s="2">
        <f t="shared" si="0"/>
        <v>5</v>
      </c>
      <c r="B79" t="s">
        <v>115</v>
      </c>
      <c r="C79" t="s">
        <v>197</v>
      </c>
      <c r="D79" s="15">
        <f t="shared" ref="D79" ca="1" si="381">INDIRECT("'"&amp;$B79&amp;"'!$g$22")</f>
        <v>1582989.1</v>
      </c>
      <c r="E79" s="15">
        <f t="shared" ref="E79" ca="1" si="382">INDIRECT("'"&amp;$B79&amp;"'!$h$22")</f>
        <v>1514036</v>
      </c>
      <c r="F79" s="15">
        <f t="shared" ref="F79" ca="1" si="383">INDIRECT("'"&amp;$B79&amp;"'!$i$22")</f>
        <v>1505835</v>
      </c>
      <c r="G79" s="15">
        <f t="shared" ref="G79" ca="1" si="384">INDIRECT("'"&amp;$B79&amp;"'!$j$22")</f>
        <v>0</v>
      </c>
      <c r="H79" s="15">
        <f t="shared" ref="H79" ca="1" si="385">INDIRECT("'"&amp;$B79&amp;"'!$k$22")</f>
        <v>0</v>
      </c>
      <c r="I79" s="15">
        <f t="shared" ref="I79" ca="1" si="386">INDIRECT("'"&amp;$B79&amp;"'!$g$21")</f>
        <v>814477.07</v>
      </c>
      <c r="J79" s="15">
        <f t="shared" ref="J79" ca="1" si="387">INDIRECT("'"&amp;$B79&amp;"'!$h$21")</f>
        <v>1176768.3400000001</v>
      </c>
      <c r="K79" s="15">
        <f t="shared" ref="K79" ca="1" si="388">INDIRECT("'"&amp;$B79&amp;"'!$i$21")</f>
        <v>1269537.42</v>
      </c>
      <c r="L79" s="15">
        <f t="shared" ref="L79" ca="1" si="389">INDIRECT("'"&amp;$B79&amp;"'!$j$21")</f>
        <v>0</v>
      </c>
      <c r="M79" s="15">
        <f t="shared" ref="M79" ca="1" si="390">INDIRECT("'"&amp;$B79&amp;"'!$k$21")</f>
        <v>0</v>
      </c>
      <c r="N79" s="103">
        <f ca="1">IFERROR(INDIRECT("'"&amp;$B79&amp;"'!$k$21")/INDIRECT("'"&amp;$B79&amp;"'!$k$22"),1)</f>
        <v>1</v>
      </c>
      <c r="O79" s="2">
        <v>12</v>
      </c>
    </row>
    <row r="80" spans="1:15" x14ac:dyDescent="0.25">
      <c r="A80" s="2">
        <f t="shared" si="0"/>
        <v>5</v>
      </c>
      <c r="B80" t="s">
        <v>115</v>
      </c>
      <c r="C80" t="s">
        <v>198</v>
      </c>
      <c r="D80" s="15">
        <f t="shared" ref="D80" ca="1" si="391">INDIRECT("'"&amp;$B80&amp;"'!$h$26")</f>
        <v>1552587.15</v>
      </c>
      <c r="E80" s="15">
        <f t="shared" ref="E80" ca="1" si="392">INDIRECT("'"&amp;$B80&amp;"'!$i$26")</f>
        <v>1476631.3</v>
      </c>
      <c r="F80" s="15">
        <f t="shared" ref="F80" ca="1" si="393">INDIRECT("'"&amp;$B80&amp;"'!$j$26")</f>
        <v>0</v>
      </c>
      <c r="G80" s="15">
        <f t="shared" ref="G80" ca="1" si="394">INDIRECT("'"&amp;$B80&amp;"'!$k$26")</f>
        <v>0</v>
      </c>
      <c r="H80" s="15">
        <f t="shared" ref="H80" ca="1" si="395">INDIRECT("'"&amp;$B80&amp;"'!$l$26")</f>
        <v>0</v>
      </c>
      <c r="I80" s="15">
        <f t="shared" ref="I80" ca="1" si="396">INDIRECT("'"&amp;$B80&amp;"'!$h$25")</f>
        <v>803073.73</v>
      </c>
      <c r="J80" s="15">
        <f t="shared" ref="J80" ca="1" si="397">INDIRECT("'"&amp;$B80&amp;"'!$i$25")</f>
        <v>1157853.29</v>
      </c>
      <c r="K80" s="15">
        <f t="shared" ref="K80" ca="1" si="398">INDIRECT("'"&amp;$B80&amp;"'!$j$25")</f>
        <v>0</v>
      </c>
      <c r="L80" s="15">
        <f t="shared" ref="L80" ca="1" si="399">INDIRECT("'"&amp;$B80&amp;"'!$k$25")</f>
        <v>0</v>
      </c>
      <c r="M80" s="15">
        <f t="shared" ref="M80" ca="1" si="400">INDIRECT("'"&amp;$B80&amp;"'!$l$25")</f>
        <v>0</v>
      </c>
      <c r="N80" s="103">
        <f ca="1">IFERROR(INDIRECT("'"&amp;$B80&amp;"'!$l$25")/INDIRECT("'"&amp;$B80&amp;"'!$l$26"),1)</f>
        <v>1</v>
      </c>
      <c r="O80" s="2">
        <v>12</v>
      </c>
    </row>
    <row r="81" spans="1:15" x14ac:dyDescent="0.25">
      <c r="A81" s="2">
        <f t="shared" si="0"/>
        <v>5</v>
      </c>
      <c r="B81" t="s">
        <v>115</v>
      </c>
      <c r="C81" t="s">
        <v>210</v>
      </c>
      <c r="D81" s="15">
        <f t="shared" ref="D81" ca="1" si="401">INDIRECT("'"&amp;$B81&amp;"'!$i$30")</f>
        <v>1484834.12</v>
      </c>
      <c r="E81" s="15">
        <f t="shared" ref="E81" ca="1" si="402">INDIRECT("'"&amp;$B81&amp;"'!$j$30")</f>
        <v>0</v>
      </c>
      <c r="F81" s="15">
        <f t="shared" ref="F81" ca="1" si="403">INDIRECT("'"&amp;$B81&amp;"'!$k$30")</f>
        <v>0</v>
      </c>
      <c r="G81" s="15">
        <f t="shared" ref="G81" ca="1" si="404">INDIRECT("'"&amp;$B81&amp;"'!$l$30")</f>
        <v>0</v>
      </c>
      <c r="H81" s="15"/>
      <c r="I81" s="15">
        <f t="shared" ref="I81" ca="1" si="405">INDIRECT("'"&amp;$B81&amp;"'!$i$29")</f>
        <v>752557.11</v>
      </c>
      <c r="J81" s="15">
        <f t="shared" ref="J81" ca="1" si="406">INDIRECT("'"&amp;$B81&amp;"'!$j$29")</f>
        <v>0</v>
      </c>
      <c r="K81" s="15">
        <f t="shared" ref="K81" ca="1" si="407">INDIRECT("'"&amp;$B81&amp;"'!$k$29")</f>
        <v>0</v>
      </c>
      <c r="L81" s="15">
        <f t="shared" ref="L81" ca="1" si="408">INDIRECT("'"&amp;$B81&amp;"'!$l$29")</f>
        <v>0</v>
      </c>
      <c r="M81" s="15"/>
      <c r="N81" s="103">
        <v>1</v>
      </c>
      <c r="O81" s="2">
        <v>12</v>
      </c>
    </row>
    <row r="82" spans="1:15" x14ac:dyDescent="0.25">
      <c r="A82" s="2">
        <f t="shared" si="0"/>
        <v>5</v>
      </c>
      <c r="B82" t="s">
        <v>115</v>
      </c>
      <c r="C82" t="s">
        <v>211</v>
      </c>
      <c r="D82" s="15">
        <f t="shared" ref="D82" ca="1" si="409">INDIRECT("'"&amp;$B82&amp;"'!$j$34")</f>
        <v>0</v>
      </c>
      <c r="E82" s="15">
        <f t="shared" ref="E82" ca="1" si="410">INDIRECT("'"&amp;$B82&amp;"'!$k$34")</f>
        <v>0</v>
      </c>
      <c r="F82" s="15">
        <f t="shared" ref="F82" ca="1" si="411">INDIRECT("'"&amp;$B82&amp;"'!$l$34")</f>
        <v>0</v>
      </c>
      <c r="G82" s="15"/>
      <c r="H82" s="15"/>
      <c r="I82" s="15">
        <f t="shared" ref="I82" ca="1" si="412">INDIRECT("'"&amp;$B82&amp;"'!$j$33")</f>
        <v>0</v>
      </c>
      <c r="J82" s="15">
        <f t="shared" ref="J82" ca="1" si="413">INDIRECT("'"&amp;$B82&amp;"'!$k$33")</f>
        <v>0</v>
      </c>
      <c r="K82" s="15">
        <f t="shared" ref="K82" ca="1" si="414">INDIRECT("'"&amp;$B82&amp;"'!$l$33")</f>
        <v>0</v>
      </c>
      <c r="L82" s="15"/>
      <c r="M82" s="15"/>
      <c r="N82" s="103">
        <v>1</v>
      </c>
      <c r="O82" s="2">
        <v>12</v>
      </c>
    </row>
    <row r="83" spans="1:15" x14ac:dyDescent="0.25">
      <c r="A83" s="2">
        <f t="shared" si="0"/>
        <v>5</v>
      </c>
      <c r="B83" t="s">
        <v>115</v>
      </c>
      <c r="C83" t="s">
        <v>212</v>
      </c>
      <c r="D83" s="15">
        <f t="shared" ref="D83" ca="1" si="415">INDIRECT("'"&amp;$B83&amp;"'!$k$38")</f>
        <v>0</v>
      </c>
      <c r="E83" s="15">
        <f t="shared" ref="E83" ca="1" si="416">INDIRECT("'"&amp;$B83&amp;"'!$l$38")</f>
        <v>0</v>
      </c>
      <c r="F83" s="15"/>
      <c r="G83" s="15"/>
      <c r="H83" s="15"/>
      <c r="I83" s="15">
        <f t="shared" ref="I83" ca="1" si="417">INDIRECT("'"&amp;$B83&amp;"'!$k$37")</f>
        <v>0</v>
      </c>
      <c r="J83" s="15">
        <f t="shared" ref="J83" ca="1" si="418">INDIRECT("'"&amp;$B83&amp;"'!$l$37")</f>
        <v>0</v>
      </c>
      <c r="K83" s="15"/>
      <c r="L83" s="15"/>
      <c r="M83" s="15"/>
      <c r="N83" s="103">
        <v>1</v>
      </c>
      <c r="O83" s="2">
        <v>12</v>
      </c>
    </row>
    <row r="84" spans="1:15" x14ac:dyDescent="0.25">
      <c r="A84" s="2">
        <f t="shared" si="0"/>
        <v>5</v>
      </c>
      <c r="B84" t="s">
        <v>115</v>
      </c>
      <c r="C84" t="s">
        <v>213</v>
      </c>
      <c r="D84" s="15">
        <f t="shared" ref="D84" ca="1" si="419">INDIRECT("'"&amp;$B84&amp;"'!$l$42")</f>
        <v>0</v>
      </c>
      <c r="E84" s="15"/>
      <c r="F84" s="15"/>
      <c r="G84" s="15"/>
      <c r="H84" s="15"/>
      <c r="I84" s="15">
        <f t="shared" ref="I84" ca="1" si="420">INDIRECT("'"&amp;$B84&amp;"'!$l$41")</f>
        <v>0</v>
      </c>
      <c r="J84" s="15"/>
      <c r="K84" s="15"/>
      <c r="L84" s="15"/>
      <c r="M84" s="15"/>
      <c r="N84" s="103">
        <v>1</v>
      </c>
      <c r="O84" s="2">
        <v>12</v>
      </c>
    </row>
    <row r="85" spans="1:15" x14ac:dyDescent="0.25">
      <c r="A85" s="2">
        <f t="shared" si="0"/>
        <v>5</v>
      </c>
      <c r="B85" t="s">
        <v>113</v>
      </c>
      <c r="C85" t="s">
        <v>195</v>
      </c>
      <c r="D85" s="15">
        <f t="shared" ref="D85" ca="1" si="421">INDIRECT("'"&amp;$B85&amp;"'!$e$14")</f>
        <v>205306.4</v>
      </c>
      <c r="E85" s="15">
        <f t="shared" ref="E85" ca="1" si="422">INDIRECT("'"&amp;$B85&amp;"'!$f$14")</f>
        <v>205306.4</v>
      </c>
      <c r="F85" s="15">
        <f t="shared" ref="F85" ca="1" si="423">INDIRECT("'"&amp;$B85&amp;"'!$g$14")</f>
        <v>205306.4</v>
      </c>
      <c r="G85" s="15">
        <f t="shared" ref="G85" ca="1" si="424">INDIRECT("'"&amp;$B85&amp;"'!$h$14")</f>
        <v>205306.4</v>
      </c>
      <c r="H85" s="15">
        <f t="shared" ref="H85" ca="1" si="425">INDIRECT("'"&amp;$B85&amp;"'!$i$14")</f>
        <v>205306.4</v>
      </c>
      <c r="I85" s="15">
        <f t="shared" ref="I85" ca="1" si="426">INDIRECT("'"&amp;$B85&amp;"'!$e$13")</f>
        <v>202151.4</v>
      </c>
      <c r="J85" s="15">
        <f t="shared" ref="J85" ca="1" si="427">INDIRECT("'"&amp;$B85&amp;"'!$f$13")</f>
        <v>204268.4</v>
      </c>
      <c r="K85" s="15">
        <f t="shared" ref="K85" ca="1" si="428">INDIRECT("'"&amp;$B85&amp;"'!$g$13")</f>
        <v>204613.4</v>
      </c>
      <c r="L85" s="15">
        <f t="shared" ref="L85" ca="1" si="429">INDIRECT("'"&amp;$B85&amp;"'!$h$13")</f>
        <v>204613.4</v>
      </c>
      <c r="M85" s="15">
        <f t="shared" ref="M85" ca="1" si="430">INDIRECT("'"&amp;$B85&amp;"'!$i$13")</f>
        <v>204613.4</v>
      </c>
      <c r="N85" s="103">
        <f ca="1">IFERROR(INDIRECT("'"&amp;$B85&amp;"'!$i$13")/INDIRECT("'"&amp;$B85&amp;"'!$i$14"),1)</f>
        <v>0.9966245572471194</v>
      </c>
      <c r="O85" s="2">
        <v>12</v>
      </c>
    </row>
    <row r="86" spans="1:15" x14ac:dyDescent="0.25">
      <c r="A86" s="2">
        <f t="shared" si="0"/>
        <v>5</v>
      </c>
      <c r="B86" t="s">
        <v>113</v>
      </c>
      <c r="C86" t="s">
        <v>196</v>
      </c>
      <c r="D86" s="15">
        <f t="shared" ref="D86" ca="1" si="431">INDIRECT("'"&amp;$B86&amp;"'!$f$18")</f>
        <v>237180.05</v>
      </c>
      <c r="E86" s="15">
        <f t="shared" ref="E86" ca="1" si="432">INDIRECT("'"&amp;$B86&amp;"'!$g$18")</f>
        <v>237180.05</v>
      </c>
      <c r="F86" s="15">
        <f t="shared" ref="F86" ca="1" si="433">INDIRECT("'"&amp;$B86&amp;"'!$h$18")</f>
        <v>237180.05</v>
      </c>
      <c r="G86" s="15">
        <f t="shared" ref="G86" ca="1" si="434">INDIRECT("'"&amp;$B86&amp;"'!$i$18")</f>
        <v>237010.05</v>
      </c>
      <c r="H86" s="15">
        <f t="shared" ref="H86" ca="1" si="435">INDIRECT("'"&amp;$B86&amp;"'!$j$18")</f>
        <v>0</v>
      </c>
      <c r="I86" s="15">
        <f t="shared" ref="I86" ca="1" si="436">INDIRECT("'"&amp;$B86&amp;"'!$f$17")</f>
        <v>227155.33</v>
      </c>
      <c r="J86" s="15">
        <f t="shared" ref="J86" ca="1" si="437">INDIRECT("'"&amp;$B86&amp;"'!$g$17")</f>
        <v>236331.8</v>
      </c>
      <c r="K86" s="15">
        <f t="shared" ref="K86" ca="1" si="438">INDIRECT("'"&amp;$B86&amp;"'!$h$17")</f>
        <v>236597.33</v>
      </c>
      <c r="L86" s="15">
        <f t="shared" ref="L86" ca="1" si="439">INDIRECT("'"&amp;$B86&amp;"'!$i$17")</f>
        <v>236597.33</v>
      </c>
      <c r="M86" s="15">
        <f t="shared" ref="M86" ca="1" si="440">INDIRECT("'"&amp;$B86&amp;"'!$j$17")</f>
        <v>0</v>
      </c>
      <c r="N86" s="103">
        <f ca="1">IFERROR(INDIRECT("'"&amp;$B86&amp;"'!$j$17")/INDIRECT("'"&amp;$B86&amp;"'!$j$18"),1)</f>
        <v>1</v>
      </c>
      <c r="O86" s="2">
        <v>12</v>
      </c>
    </row>
    <row r="87" spans="1:15" x14ac:dyDescent="0.25">
      <c r="A87" s="2">
        <f t="shared" ref="A87:A100" si="441">A$21</f>
        <v>5</v>
      </c>
      <c r="B87" t="s">
        <v>113</v>
      </c>
      <c r="C87" t="s">
        <v>197</v>
      </c>
      <c r="D87" s="15">
        <f t="shared" ref="D87" ca="1" si="442">INDIRECT("'"&amp;$B87&amp;"'!$g$22")</f>
        <v>270774.3</v>
      </c>
      <c r="E87" s="15">
        <f t="shared" ref="E87" ca="1" si="443">INDIRECT("'"&amp;$B87&amp;"'!$h$22")</f>
        <v>270774.3</v>
      </c>
      <c r="F87" s="15">
        <f t="shared" ref="F87" ca="1" si="444">INDIRECT("'"&amp;$B87&amp;"'!$i$22")</f>
        <v>270604.3</v>
      </c>
      <c r="G87" s="15">
        <f t="shared" ref="G87" ca="1" si="445">INDIRECT("'"&amp;$B87&amp;"'!$j$22")</f>
        <v>0</v>
      </c>
      <c r="H87" s="15">
        <f t="shared" ref="H87" ca="1" si="446">INDIRECT("'"&amp;$B87&amp;"'!$k$22")</f>
        <v>0</v>
      </c>
      <c r="I87" s="15">
        <f t="shared" ref="I87" ca="1" si="447">INDIRECT("'"&amp;$B87&amp;"'!$g$21")</f>
        <v>248318.02</v>
      </c>
      <c r="J87" s="15">
        <f t="shared" ref="J87" ca="1" si="448">INDIRECT("'"&amp;$B87&amp;"'!$h$21")</f>
        <v>268041.34999999998</v>
      </c>
      <c r="K87" s="15">
        <f t="shared" ref="K87" ca="1" si="449">INDIRECT("'"&amp;$B87&amp;"'!$i$21")</f>
        <v>268041.34999999998</v>
      </c>
      <c r="L87" s="15">
        <f t="shared" ref="L87" ca="1" si="450">INDIRECT("'"&amp;$B87&amp;"'!$j$21")</f>
        <v>0</v>
      </c>
      <c r="M87" s="15">
        <f t="shared" ref="M87" ca="1" si="451">INDIRECT("'"&amp;$B87&amp;"'!$k$21")</f>
        <v>0</v>
      </c>
      <c r="N87" s="103">
        <f ca="1">IFERROR(INDIRECT("'"&amp;$B87&amp;"'!$k$21")/INDIRECT("'"&amp;$B87&amp;"'!$k$22"),1)</f>
        <v>1</v>
      </c>
      <c r="O87" s="2">
        <v>12</v>
      </c>
    </row>
    <row r="88" spans="1:15" x14ac:dyDescent="0.25">
      <c r="A88" s="2">
        <f t="shared" si="441"/>
        <v>5</v>
      </c>
      <c r="B88" t="s">
        <v>113</v>
      </c>
      <c r="C88" t="s">
        <v>198</v>
      </c>
      <c r="D88" s="15">
        <f t="shared" ref="D88" ca="1" si="452">INDIRECT("'"&amp;$B88&amp;"'!$h$26")</f>
        <v>227048.55</v>
      </c>
      <c r="E88" s="15">
        <f t="shared" ref="E88" ca="1" si="453">INDIRECT("'"&amp;$B88&amp;"'!$i$26")</f>
        <v>226878.55</v>
      </c>
      <c r="F88" s="15">
        <f t="shared" ref="F88" ca="1" si="454">INDIRECT("'"&amp;$B88&amp;"'!$j$26")</f>
        <v>0</v>
      </c>
      <c r="G88" s="15">
        <f t="shared" ref="G88" ca="1" si="455">INDIRECT("'"&amp;$B88&amp;"'!$k$26")</f>
        <v>0</v>
      </c>
      <c r="H88" s="15">
        <f t="shared" ref="H88" ca="1" si="456">INDIRECT("'"&amp;$B88&amp;"'!$l$26")</f>
        <v>0</v>
      </c>
      <c r="I88" s="15">
        <f t="shared" ref="I88" ca="1" si="457">INDIRECT("'"&amp;$B88&amp;"'!$h$25")</f>
        <v>214111.21</v>
      </c>
      <c r="J88" s="15">
        <f t="shared" ref="J88" ca="1" si="458">INDIRECT("'"&amp;$B88&amp;"'!$i$25")</f>
        <v>224809.21</v>
      </c>
      <c r="K88" s="15">
        <f t="shared" ref="K88" ca="1" si="459">INDIRECT("'"&amp;$B88&amp;"'!$j$25")</f>
        <v>0</v>
      </c>
      <c r="L88" s="15">
        <f t="shared" ref="L88" ca="1" si="460">INDIRECT("'"&amp;$B88&amp;"'!$k$25")</f>
        <v>0</v>
      </c>
      <c r="M88" s="15">
        <f t="shared" ref="M88" ca="1" si="461">INDIRECT("'"&amp;$B88&amp;"'!$l$25")</f>
        <v>0</v>
      </c>
      <c r="N88" s="103">
        <f ca="1">IFERROR(INDIRECT("'"&amp;$B88&amp;"'!$l$25")/INDIRECT("'"&amp;$B88&amp;"'!$l$26"),1)</f>
        <v>1</v>
      </c>
      <c r="O88" s="2">
        <v>12</v>
      </c>
    </row>
    <row r="89" spans="1:15" x14ac:dyDescent="0.25">
      <c r="A89" s="2">
        <f t="shared" si="441"/>
        <v>5</v>
      </c>
      <c r="B89" t="s">
        <v>113</v>
      </c>
      <c r="C89" t="s">
        <v>210</v>
      </c>
      <c r="D89" s="15">
        <f t="shared" ref="D89" ca="1" si="462">INDIRECT("'"&amp;$B89&amp;"'!$i$30")</f>
        <v>234067</v>
      </c>
      <c r="E89" s="15">
        <f t="shared" ref="E89" ca="1" si="463">INDIRECT("'"&amp;$B89&amp;"'!$j$30")</f>
        <v>0</v>
      </c>
      <c r="F89" s="15">
        <f t="shared" ref="F89" ca="1" si="464">INDIRECT("'"&amp;$B89&amp;"'!$k$30")</f>
        <v>0</v>
      </c>
      <c r="G89" s="15">
        <f t="shared" ref="G89" ca="1" si="465">INDIRECT("'"&amp;$B89&amp;"'!$l$30")</f>
        <v>0</v>
      </c>
      <c r="H89" s="15"/>
      <c r="I89" s="15">
        <f t="shared" ref="I89" ca="1" si="466">INDIRECT("'"&amp;$B89&amp;"'!$i$29")</f>
        <v>226397.8</v>
      </c>
      <c r="J89" s="15">
        <f t="shared" ref="J89" ca="1" si="467">INDIRECT("'"&amp;$B89&amp;"'!$j$29")</f>
        <v>0</v>
      </c>
      <c r="K89" s="15">
        <f t="shared" ref="K89" ca="1" si="468">INDIRECT("'"&amp;$B89&amp;"'!$k$29")</f>
        <v>0</v>
      </c>
      <c r="L89" s="15">
        <f t="shared" ref="L89" ca="1" si="469">INDIRECT("'"&amp;$B89&amp;"'!$l$29")</f>
        <v>0</v>
      </c>
      <c r="M89" s="15"/>
      <c r="N89" s="103">
        <v>1</v>
      </c>
      <c r="O89" s="2">
        <v>12</v>
      </c>
    </row>
    <row r="90" spans="1:15" x14ac:dyDescent="0.25">
      <c r="A90" s="2">
        <f t="shared" si="441"/>
        <v>5</v>
      </c>
      <c r="B90" t="s">
        <v>113</v>
      </c>
      <c r="C90" t="s">
        <v>211</v>
      </c>
      <c r="D90" s="15">
        <f t="shared" ref="D90" ca="1" si="470">INDIRECT("'"&amp;$B90&amp;"'!$j$34")</f>
        <v>0</v>
      </c>
      <c r="E90" s="15">
        <f t="shared" ref="E90" ca="1" si="471">INDIRECT("'"&amp;$B90&amp;"'!$k$34")</f>
        <v>0</v>
      </c>
      <c r="F90" s="15">
        <f t="shared" ref="F90" ca="1" si="472">INDIRECT("'"&amp;$B90&amp;"'!$l$34")</f>
        <v>0</v>
      </c>
      <c r="G90" s="15"/>
      <c r="H90" s="15"/>
      <c r="I90" s="15">
        <f t="shared" ref="I90" ca="1" si="473">INDIRECT("'"&amp;$B90&amp;"'!$j$33")</f>
        <v>0</v>
      </c>
      <c r="J90" s="15">
        <f t="shared" ref="J90" ca="1" si="474">INDIRECT("'"&amp;$B90&amp;"'!$k$33")</f>
        <v>0</v>
      </c>
      <c r="K90" s="15">
        <f t="shared" ref="K90" ca="1" si="475">INDIRECT("'"&amp;$B90&amp;"'!$l$33")</f>
        <v>0</v>
      </c>
      <c r="L90" s="15"/>
      <c r="M90" s="15"/>
      <c r="N90" s="103">
        <v>1</v>
      </c>
      <c r="O90" s="2">
        <v>12</v>
      </c>
    </row>
    <row r="91" spans="1:15" x14ac:dyDescent="0.25">
      <c r="A91" s="2">
        <f t="shared" si="441"/>
        <v>5</v>
      </c>
      <c r="B91" t="s">
        <v>113</v>
      </c>
      <c r="C91" t="s">
        <v>212</v>
      </c>
      <c r="D91" s="15">
        <f t="shared" ref="D91" ca="1" si="476">INDIRECT("'"&amp;$B91&amp;"'!$k$38")</f>
        <v>0</v>
      </c>
      <c r="E91" s="15">
        <f t="shared" ref="E91" ca="1" si="477">INDIRECT("'"&amp;$B91&amp;"'!$l$38")</f>
        <v>0</v>
      </c>
      <c r="F91" s="15"/>
      <c r="G91" s="15"/>
      <c r="H91" s="15"/>
      <c r="I91" s="15">
        <f t="shared" ref="I91" ca="1" si="478">INDIRECT("'"&amp;$B91&amp;"'!$k$37")</f>
        <v>0</v>
      </c>
      <c r="J91" s="15">
        <f t="shared" ref="J91" ca="1" si="479">INDIRECT("'"&amp;$B91&amp;"'!$l$37")</f>
        <v>0</v>
      </c>
      <c r="K91" s="15"/>
      <c r="L91" s="15"/>
      <c r="M91" s="15"/>
      <c r="N91" s="103">
        <v>1</v>
      </c>
      <c r="O91" s="2">
        <v>12</v>
      </c>
    </row>
    <row r="92" spans="1:15" x14ac:dyDescent="0.25">
      <c r="A92" s="2">
        <f t="shared" si="441"/>
        <v>5</v>
      </c>
      <c r="B92" t="s">
        <v>113</v>
      </c>
      <c r="C92" t="s">
        <v>213</v>
      </c>
      <c r="D92" s="15">
        <f t="shared" ref="D92" ca="1" si="480">INDIRECT("'"&amp;$B92&amp;"'!$l$42")</f>
        <v>0</v>
      </c>
      <c r="E92" s="15"/>
      <c r="F92" s="15"/>
      <c r="G92" s="15"/>
      <c r="H92" s="15"/>
      <c r="I92" s="15">
        <f t="shared" ref="I92" ca="1" si="481">INDIRECT("'"&amp;$B92&amp;"'!$l$41")</f>
        <v>0</v>
      </c>
      <c r="J92" s="15"/>
      <c r="K92" s="15"/>
      <c r="L92" s="15"/>
      <c r="M92" s="15"/>
      <c r="N92" s="103">
        <v>1</v>
      </c>
      <c r="O92" s="2">
        <v>12</v>
      </c>
    </row>
    <row r="93" spans="1:15" x14ac:dyDescent="0.25">
      <c r="A93" s="2">
        <f t="shared" si="441"/>
        <v>5</v>
      </c>
      <c r="B93" t="s">
        <v>72</v>
      </c>
      <c r="C93" t="s">
        <v>195</v>
      </c>
      <c r="D93" s="15">
        <f t="shared" ref="D93" ca="1" si="482">INDIRECT("'"&amp;$B93&amp;"'!$e$14")</f>
        <v>308324.5</v>
      </c>
      <c r="E93" s="15">
        <f t="shared" ref="E93" ca="1" si="483">INDIRECT("'"&amp;$B93&amp;"'!$f$14")</f>
        <v>380324.5</v>
      </c>
      <c r="F93" s="15">
        <f t="shared" ref="F93" ca="1" si="484">INDIRECT("'"&amp;$B93&amp;"'!$g$14")</f>
        <v>308324.5</v>
      </c>
      <c r="G93" s="15">
        <f t="shared" ref="G93" ca="1" si="485">INDIRECT("'"&amp;$B93&amp;"'!$h$14")</f>
        <v>308324.5</v>
      </c>
      <c r="H93" s="15">
        <f t="shared" ref="H93" ca="1" si="486">INDIRECT("'"&amp;$B93&amp;"'!$i$14")</f>
        <v>308324.5</v>
      </c>
      <c r="I93" s="15">
        <f t="shared" ref="I93" ca="1" si="487">INDIRECT("'"&amp;$B93&amp;"'!$e$13")</f>
        <v>269422.89</v>
      </c>
      <c r="J93" s="15">
        <f t="shared" ref="J93" ca="1" si="488">INDIRECT("'"&amp;$B93&amp;"'!$f$13")</f>
        <v>280398.95</v>
      </c>
      <c r="K93" s="15">
        <f t="shared" ref="K93" ca="1" si="489">INDIRECT("'"&amp;$B93&amp;"'!$g$13")</f>
        <v>284536.53999999998</v>
      </c>
      <c r="L93" s="15">
        <f t="shared" ref="L93" ca="1" si="490">INDIRECT("'"&amp;$B93&amp;"'!$h$13")</f>
        <v>285920.38</v>
      </c>
      <c r="M93" s="15">
        <f t="shared" ref="M93" ca="1" si="491">INDIRECT("'"&amp;$B93&amp;"'!$i$13")</f>
        <v>287248.38</v>
      </c>
      <c r="N93" s="103">
        <f ca="1">IFERROR(INDIRECT("'"&amp;$B93&amp;"'!$i$13")/INDIRECT("'"&amp;$B93&amp;"'!$i$14"),1)</f>
        <v>0.93164305788219881</v>
      </c>
      <c r="O93" s="2">
        <v>12</v>
      </c>
    </row>
    <row r="94" spans="1:15" x14ac:dyDescent="0.25">
      <c r="A94" s="2">
        <f t="shared" si="441"/>
        <v>5</v>
      </c>
      <c r="B94" t="s">
        <v>72</v>
      </c>
      <c r="C94" t="s">
        <v>196</v>
      </c>
      <c r="D94" s="15">
        <f t="shared" ref="D94" ca="1" si="492">INDIRECT("'"&amp;$B94&amp;"'!$f$18")</f>
        <v>334879.8</v>
      </c>
      <c r="E94" s="15">
        <f t="shared" ref="E94" ca="1" si="493">INDIRECT("'"&amp;$B94&amp;"'!$g$18")</f>
        <v>334879.8</v>
      </c>
      <c r="F94" s="15">
        <f t="shared" ref="F94" ca="1" si="494">INDIRECT("'"&amp;$B94&amp;"'!$h$18")</f>
        <v>334879.8</v>
      </c>
      <c r="G94" s="15">
        <f t="shared" ref="G94" ca="1" si="495">INDIRECT("'"&amp;$B94&amp;"'!$i$18")</f>
        <v>334879.8</v>
      </c>
      <c r="H94" s="15">
        <f t="shared" ref="H94" ca="1" si="496">INDIRECT("'"&amp;$B94&amp;"'!$j$18")</f>
        <v>0</v>
      </c>
      <c r="I94" s="15">
        <f t="shared" ref="I94" ca="1" si="497">INDIRECT("'"&amp;$B94&amp;"'!$f$17")</f>
        <v>294392.21000000002</v>
      </c>
      <c r="J94" s="15">
        <f t="shared" ref="J94" ca="1" si="498">INDIRECT("'"&amp;$B94&amp;"'!$g$17")</f>
        <v>306232.78999999998</v>
      </c>
      <c r="K94" s="15">
        <f t="shared" ref="K94" ca="1" si="499">INDIRECT("'"&amp;$B94&amp;"'!$h$17")</f>
        <v>308458.34000000003</v>
      </c>
      <c r="L94" s="15">
        <f t="shared" ref="L94" ca="1" si="500">INDIRECT("'"&amp;$B94&amp;"'!$i$17")</f>
        <v>310345.34000000003</v>
      </c>
      <c r="M94" s="15">
        <f t="shared" ref="M94" ca="1" si="501">INDIRECT("'"&amp;$B94&amp;"'!$j$17")</f>
        <v>0</v>
      </c>
      <c r="N94" s="103">
        <f ca="1">IFERROR(INDIRECT("'"&amp;$B94&amp;"'!$j$17")/INDIRECT("'"&amp;$B94&amp;"'!$j$18"),1)</f>
        <v>1</v>
      </c>
      <c r="O94" s="2">
        <v>12</v>
      </c>
    </row>
    <row r="95" spans="1:15" x14ac:dyDescent="0.25">
      <c r="A95" s="2">
        <f t="shared" si="441"/>
        <v>5</v>
      </c>
      <c r="B95" t="s">
        <v>72</v>
      </c>
      <c r="C95" t="s">
        <v>197</v>
      </c>
      <c r="D95" s="15">
        <f t="shared" ref="D95" ca="1" si="502">INDIRECT("'"&amp;$B95&amp;"'!$g$22")</f>
        <v>358445.8</v>
      </c>
      <c r="E95" s="15">
        <f t="shared" ref="E95" ca="1" si="503">INDIRECT("'"&amp;$B95&amp;"'!$h$22")</f>
        <v>358420.8</v>
      </c>
      <c r="F95" s="15">
        <f t="shared" ref="F95" ca="1" si="504">INDIRECT("'"&amp;$B95&amp;"'!$i$22")</f>
        <v>358420.8</v>
      </c>
      <c r="G95" s="15">
        <f t="shared" ref="G95" ca="1" si="505">INDIRECT("'"&amp;$B95&amp;"'!$j$22")</f>
        <v>0</v>
      </c>
      <c r="H95" s="15">
        <f t="shared" ref="H95" ca="1" si="506">INDIRECT("'"&amp;$B95&amp;"'!$k$22")</f>
        <v>0</v>
      </c>
      <c r="I95" s="15">
        <f t="shared" ref="I95" ca="1" si="507">INDIRECT("'"&amp;$B95&amp;"'!$g$21")</f>
        <v>307537.64</v>
      </c>
      <c r="J95" s="15">
        <f t="shared" ref="J95" ca="1" si="508">INDIRECT("'"&amp;$B95&amp;"'!$h$21")</f>
        <v>319380.81</v>
      </c>
      <c r="K95" s="15">
        <f t="shared" ref="K95" ca="1" si="509">INDIRECT("'"&amp;$B95&amp;"'!$i$21")</f>
        <v>322250.14</v>
      </c>
      <c r="L95" s="15">
        <f t="shared" ref="L95" ca="1" si="510">INDIRECT("'"&amp;$B95&amp;"'!$j$21")</f>
        <v>0</v>
      </c>
      <c r="M95" s="15">
        <f t="shared" ref="M95" ca="1" si="511">INDIRECT("'"&amp;$B95&amp;"'!$k$21")</f>
        <v>0</v>
      </c>
      <c r="N95" s="103">
        <f ca="1">IFERROR(INDIRECT("'"&amp;$B95&amp;"'!$k$21")/INDIRECT("'"&amp;$B95&amp;"'!$k$22"),1)</f>
        <v>1</v>
      </c>
      <c r="O95" s="2">
        <v>12</v>
      </c>
    </row>
    <row r="96" spans="1:15" x14ac:dyDescent="0.25">
      <c r="A96" s="2">
        <f t="shared" si="441"/>
        <v>5</v>
      </c>
      <c r="B96" t="s">
        <v>72</v>
      </c>
      <c r="C96" t="s">
        <v>198</v>
      </c>
      <c r="D96" s="15">
        <f t="shared" ref="D96" ca="1" si="512">INDIRECT("'"&amp;$B96&amp;"'!$h$26")</f>
        <v>307560.09999999998</v>
      </c>
      <c r="E96" s="15">
        <f t="shared" ref="E96" ca="1" si="513">INDIRECT("'"&amp;$B96&amp;"'!$i$26")</f>
        <v>307320.09999999998</v>
      </c>
      <c r="F96" s="15">
        <f t="shared" ref="F96" ca="1" si="514">INDIRECT("'"&amp;$B96&amp;"'!$j$26")</f>
        <v>0</v>
      </c>
      <c r="G96" s="15">
        <f t="shared" ref="G96" ca="1" si="515">INDIRECT("'"&amp;$B96&amp;"'!$k$26")</f>
        <v>0</v>
      </c>
      <c r="H96" s="15">
        <f t="shared" ref="H96" ca="1" si="516">INDIRECT("'"&amp;$B96&amp;"'!$l$26")</f>
        <v>0</v>
      </c>
      <c r="I96" s="15">
        <f t="shared" ref="I96" ca="1" si="517">INDIRECT("'"&amp;$B96&amp;"'!$h$25")</f>
        <v>260649.09</v>
      </c>
      <c r="J96" s="15">
        <f t="shared" ref="J96" ca="1" si="518">INDIRECT("'"&amp;$B96&amp;"'!$i$25")</f>
        <v>271912.09999999998</v>
      </c>
      <c r="K96" s="15">
        <f t="shared" ref="K96" ca="1" si="519">INDIRECT("'"&amp;$B96&amp;"'!$j$25")</f>
        <v>0</v>
      </c>
      <c r="L96" s="15">
        <f t="shared" ref="L96" ca="1" si="520">INDIRECT("'"&amp;$B96&amp;"'!$k$25")</f>
        <v>0</v>
      </c>
      <c r="M96" s="15">
        <f t="shared" ref="M96" ca="1" si="521">INDIRECT("'"&amp;$B96&amp;"'!$l$25")</f>
        <v>0</v>
      </c>
      <c r="N96" s="103">
        <f ca="1">IFERROR(INDIRECT("'"&amp;$B96&amp;"'!$l$25")/INDIRECT("'"&amp;$B96&amp;"'!$l$26"),1)</f>
        <v>1</v>
      </c>
      <c r="O96" s="2">
        <v>12</v>
      </c>
    </row>
    <row r="97" spans="1:19" x14ac:dyDescent="0.25">
      <c r="A97" s="2">
        <f t="shared" si="441"/>
        <v>5</v>
      </c>
      <c r="B97" t="s">
        <v>72</v>
      </c>
      <c r="C97" t="s">
        <v>210</v>
      </c>
      <c r="D97" s="15">
        <f t="shared" ref="D97" ca="1" si="522">INDIRECT("'"&amp;$B97&amp;"'!$i$30")</f>
        <v>329764.81</v>
      </c>
      <c r="E97" s="15">
        <f t="shared" ref="E97" ca="1" si="523">INDIRECT("'"&amp;$B97&amp;"'!$j$30")</f>
        <v>0</v>
      </c>
      <c r="F97" s="15">
        <f t="shared" ref="F97" ca="1" si="524">INDIRECT("'"&amp;$B97&amp;"'!$k$30")</f>
        <v>0</v>
      </c>
      <c r="G97" s="15">
        <f t="shared" ref="G97" ca="1" si="525">INDIRECT("'"&amp;$B97&amp;"'!$l$30")</f>
        <v>0</v>
      </c>
      <c r="H97" s="15"/>
      <c r="I97" s="15">
        <f t="shared" ref="I97" ca="1" si="526">INDIRECT("'"&amp;$B97&amp;"'!$i$29")</f>
        <v>271847.11</v>
      </c>
      <c r="J97" s="15">
        <f t="shared" ref="J97" ca="1" si="527">INDIRECT("'"&amp;$B97&amp;"'!$j$29")</f>
        <v>0</v>
      </c>
      <c r="K97" s="15">
        <f t="shared" ref="K97" ca="1" si="528">INDIRECT("'"&amp;$B97&amp;"'!$k$29")</f>
        <v>0</v>
      </c>
      <c r="L97" s="15">
        <f t="shared" ref="L97" ca="1" si="529">INDIRECT("'"&amp;$B97&amp;"'!$l$29")</f>
        <v>0</v>
      </c>
      <c r="M97" s="15"/>
      <c r="N97" s="103">
        <v>1</v>
      </c>
      <c r="O97" s="2">
        <v>12</v>
      </c>
    </row>
    <row r="98" spans="1:19" x14ac:dyDescent="0.25">
      <c r="A98" s="2">
        <f t="shared" si="441"/>
        <v>5</v>
      </c>
      <c r="B98" t="s">
        <v>72</v>
      </c>
      <c r="C98" t="s">
        <v>211</v>
      </c>
      <c r="D98" s="15">
        <f t="shared" ref="D98" ca="1" si="530">INDIRECT("'"&amp;$B98&amp;"'!$j$34")</f>
        <v>0</v>
      </c>
      <c r="E98" s="15">
        <f t="shared" ref="E98" ca="1" si="531">INDIRECT("'"&amp;$B98&amp;"'!$k$34")</f>
        <v>0</v>
      </c>
      <c r="F98" s="15">
        <f t="shared" ref="F98" ca="1" si="532">INDIRECT("'"&amp;$B98&amp;"'!$l$34")</f>
        <v>0</v>
      </c>
      <c r="G98" s="15"/>
      <c r="H98" s="15"/>
      <c r="I98" s="15">
        <f t="shared" ref="I98" ca="1" si="533">INDIRECT("'"&amp;$B98&amp;"'!$j$33")</f>
        <v>0</v>
      </c>
      <c r="J98" s="15">
        <f t="shared" ref="J98" ca="1" si="534">INDIRECT("'"&amp;$B98&amp;"'!$k$33")</f>
        <v>0</v>
      </c>
      <c r="K98" s="15">
        <f t="shared" ref="K98" ca="1" si="535">INDIRECT("'"&amp;$B98&amp;"'!$l$33")</f>
        <v>0</v>
      </c>
      <c r="L98" s="15"/>
      <c r="M98" s="15"/>
      <c r="N98" s="103">
        <v>1</v>
      </c>
      <c r="O98" s="2">
        <v>12</v>
      </c>
    </row>
    <row r="99" spans="1:19" x14ac:dyDescent="0.25">
      <c r="A99" s="2">
        <f t="shared" si="441"/>
        <v>5</v>
      </c>
      <c r="B99" t="s">
        <v>72</v>
      </c>
      <c r="C99" t="s">
        <v>212</v>
      </c>
      <c r="D99" s="15">
        <f t="shared" ref="D99" ca="1" si="536">INDIRECT("'"&amp;$B99&amp;"'!$k$38")</f>
        <v>0</v>
      </c>
      <c r="E99" s="15">
        <f t="shared" ref="E99" ca="1" si="537">INDIRECT("'"&amp;$B99&amp;"'!$l$38")</f>
        <v>0</v>
      </c>
      <c r="F99" s="15"/>
      <c r="G99" s="15"/>
      <c r="H99" s="15"/>
      <c r="I99" s="15">
        <f t="shared" ref="I99" ca="1" si="538">INDIRECT("'"&amp;$B99&amp;"'!$k$37")</f>
        <v>0</v>
      </c>
      <c r="J99" s="15">
        <f t="shared" ref="J99" ca="1" si="539">INDIRECT("'"&amp;$B99&amp;"'!$l$37")</f>
        <v>0</v>
      </c>
      <c r="K99" s="15"/>
      <c r="L99" s="15"/>
      <c r="M99" s="15"/>
      <c r="N99" s="103">
        <v>1</v>
      </c>
      <c r="O99" s="2">
        <v>12</v>
      </c>
    </row>
    <row r="100" spans="1:19" x14ac:dyDescent="0.25">
      <c r="A100" s="2">
        <f t="shared" si="441"/>
        <v>5</v>
      </c>
      <c r="B100" t="s">
        <v>72</v>
      </c>
      <c r="C100" t="s">
        <v>213</v>
      </c>
      <c r="D100" s="15">
        <f t="shared" ref="D100" ca="1" si="540">INDIRECT("'"&amp;$B100&amp;"'!$l$42")</f>
        <v>0</v>
      </c>
      <c r="E100" s="15"/>
      <c r="F100" s="15"/>
      <c r="G100" s="15"/>
      <c r="H100" s="15"/>
      <c r="I100" s="15">
        <f t="shared" ref="I100" ca="1" si="541">INDIRECT("'"&amp;$B100&amp;"'!$l$41")</f>
        <v>0</v>
      </c>
      <c r="J100" s="15"/>
      <c r="K100" s="15"/>
      <c r="L100" s="15"/>
      <c r="M100" s="15"/>
      <c r="N100" s="103">
        <v>1</v>
      </c>
      <c r="O100" s="2">
        <v>12</v>
      </c>
    </row>
    <row r="101" spans="1:19" ht="27" x14ac:dyDescent="0.25">
      <c r="A101" s="100" t="s">
        <v>74</v>
      </c>
      <c r="B101" s="100" t="s">
        <v>95</v>
      </c>
      <c r="C101" s="100" t="s">
        <v>214</v>
      </c>
      <c r="D101" s="100" t="s">
        <v>215</v>
      </c>
      <c r="E101" s="100" t="s">
        <v>216</v>
      </c>
      <c r="F101" s="100" t="s">
        <v>217</v>
      </c>
      <c r="G101" s="100" t="s">
        <v>96</v>
      </c>
      <c r="H101" s="100" t="s">
        <v>97</v>
      </c>
      <c r="I101" s="100" t="s">
        <v>98</v>
      </c>
      <c r="J101" s="100" t="s">
        <v>99</v>
      </c>
      <c r="K101" s="100" t="s">
        <v>100</v>
      </c>
      <c r="L101" s="100" t="s">
        <v>101</v>
      </c>
      <c r="M101" s="100" t="s">
        <v>102</v>
      </c>
      <c r="N101" s="100" t="s">
        <v>103</v>
      </c>
      <c r="O101" s="100" t="s">
        <v>104</v>
      </c>
      <c r="P101" s="100" t="s">
        <v>105</v>
      </c>
      <c r="Q101" s="100" t="s">
        <v>106</v>
      </c>
      <c r="R101" s="100" t="s">
        <v>107</v>
      </c>
      <c r="S101" s="100" t="s">
        <v>108</v>
      </c>
    </row>
    <row r="102" spans="1:19" x14ac:dyDescent="0.25">
      <c r="A102" s="2">
        <f>A21</f>
        <v>5</v>
      </c>
      <c r="B102" s="2">
        <v>18</v>
      </c>
      <c r="C102" s="2" t="s">
        <v>208</v>
      </c>
      <c r="D102" s="101" t="s">
        <v>147</v>
      </c>
      <c r="E102" t="s">
        <v>109</v>
      </c>
      <c r="F102" t="s">
        <v>195</v>
      </c>
      <c r="G102" s="2">
        <f ca="1">INDIRECT("'"&amp;$E102&amp;"'!$M$12")</f>
        <v>0</v>
      </c>
      <c r="J102" s="25"/>
      <c r="S102" s="2">
        <v>12</v>
      </c>
    </row>
    <row r="103" spans="1:19" x14ac:dyDescent="0.25">
      <c r="A103" s="2">
        <f>A102</f>
        <v>5</v>
      </c>
      <c r="B103" s="2">
        <v>18</v>
      </c>
      <c r="C103" s="2" t="s">
        <v>208</v>
      </c>
      <c r="D103" s="101" t="s">
        <v>147</v>
      </c>
      <c r="E103" t="s">
        <v>109</v>
      </c>
      <c r="F103" t="s">
        <v>196</v>
      </c>
      <c r="G103" s="2">
        <f ca="1">INDIRECT("'"&amp;$E103&amp;"'!$M$16")</f>
        <v>0</v>
      </c>
      <c r="J103" s="25"/>
      <c r="S103" s="2">
        <v>12</v>
      </c>
    </row>
    <row r="104" spans="1:19" x14ac:dyDescent="0.25">
      <c r="A104" s="2">
        <f t="shared" ref="A104:A167" si="542">A103</f>
        <v>5</v>
      </c>
      <c r="B104" s="2">
        <v>18</v>
      </c>
      <c r="C104" s="2" t="s">
        <v>208</v>
      </c>
      <c r="D104" s="101" t="s">
        <v>147</v>
      </c>
      <c r="E104" t="s">
        <v>109</v>
      </c>
      <c r="F104" t="s">
        <v>197</v>
      </c>
      <c r="G104" s="2">
        <f ca="1">INDIRECT("'"&amp;$E104&amp;"'!$M$20")</f>
        <v>0</v>
      </c>
      <c r="J104" s="25"/>
      <c r="S104" s="2">
        <v>12</v>
      </c>
    </row>
    <row r="105" spans="1:19" x14ac:dyDescent="0.25">
      <c r="A105" s="2">
        <f t="shared" si="542"/>
        <v>5</v>
      </c>
      <c r="B105" s="2">
        <v>18</v>
      </c>
      <c r="C105" s="2" t="s">
        <v>208</v>
      </c>
      <c r="D105" s="101" t="s">
        <v>147</v>
      </c>
      <c r="E105" t="s">
        <v>109</v>
      </c>
      <c r="F105" t="s">
        <v>198</v>
      </c>
      <c r="G105" s="2">
        <f ca="1">INDIRECT("'"&amp;$E105&amp;"'!$M$24")</f>
        <v>0</v>
      </c>
      <c r="J105" s="25"/>
      <c r="S105" s="2">
        <v>12</v>
      </c>
    </row>
    <row r="106" spans="1:19" x14ac:dyDescent="0.25">
      <c r="A106" s="2">
        <f t="shared" si="542"/>
        <v>5</v>
      </c>
      <c r="B106" s="2">
        <v>18</v>
      </c>
      <c r="C106" s="2" t="s">
        <v>208</v>
      </c>
      <c r="D106" s="101" t="s">
        <v>147</v>
      </c>
      <c r="E106" t="s">
        <v>110</v>
      </c>
      <c r="F106" t="s">
        <v>195</v>
      </c>
      <c r="G106" s="2">
        <f ca="1">INDIRECT("'"&amp;$E106&amp;"'!$M$12")</f>
        <v>0</v>
      </c>
      <c r="S106" s="2">
        <v>12</v>
      </c>
    </row>
    <row r="107" spans="1:19" x14ac:dyDescent="0.25">
      <c r="A107" s="2">
        <f t="shared" si="542"/>
        <v>5</v>
      </c>
      <c r="B107" s="2">
        <v>18</v>
      </c>
      <c r="C107" s="2" t="s">
        <v>208</v>
      </c>
      <c r="D107" s="101" t="s">
        <v>147</v>
      </c>
      <c r="E107" t="s">
        <v>110</v>
      </c>
      <c r="F107" t="s">
        <v>196</v>
      </c>
      <c r="G107" s="2">
        <f ca="1">INDIRECT("'"&amp;$E107&amp;"'!$M$16")</f>
        <v>0</v>
      </c>
      <c r="S107" s="2">
        <v>12</v>
      </c>
    </row>
    <row r="108" spans="1:19" x14ac:dyDescent="0.25">
      <c r="A108" s="2">
        <f t="shared" si="542"/>
        <v>5</v>
      </c>
      <c r="B108" s="2">
        <v>18</v>
      </c>
      <c r="C108" s="2" t="s">
        <v>208</v>
      </c>
      <c r="D108" s="101" t="s">
        <v>147</v>
      </c>
      <c r="E108" t="s">
        <v>110</v>
      </c>
      <c r="F108" t="s">
        <v>197</v>
      </c>
      <c r="G108" s="2">
        <f ca="1">INDIRECT("'"&amp;$E108&amp;"'!$M$20")</f>
        <v>0</v>
      </c>
      <c r="S108" s="2">
        <v>12</v>
      </c>
    </row>
    <row r="109" spans="1:19" x14ac:dyDescent="0.25">
      <c r="A109" s="2">
        <f t="shared" si="542"/>
        <v>5</v>
      </c>
      <c r="B109" s="2">
        <v>18</v>
      </c>
      <c r="C109" s="2" t="s">
        <v>208</v>
      </c>
      <c r="D109" s="101" t="s">
        <v>147</v>
      </c>
      <c r="E109" t="s">
        <v>110</v>
      </c>
      <c r="F109" t="s">
        <v>198</v>
      </c>
      <c r="G109" s="2">
        <f ca="1">INDIRECT("'"&amp;$E109&amp;"'!$M$24")</f>
        <v>0</v>
      </c>
      <c r="S109" s="2">
        <v>12</v>
      </c>
    </row>
    <row r="110" spans="1:19" x14ac:dyDescent="0.25">
      <c r="A110" s="2">
        <f t="shared" si="542"/>
        <v>5</v>
      </c>
      <c r="B110" s="2">
        <v>18</v>
      </c>
      <c r="C110" s="2" t="s">
        <v>208</v>
      </c>
      <c r="D110" s="101" t="s">
        <v>147</v>
      </c>
      <c r="E110" t="s">
        <v>116</v>
      </c>
      <c r="F110" t="s">
        <v>195</v>
      </c>
      <c r="G110" s="2" t="str">
        <f ca="1">INDIRECT("'"&amp;$E110&amp;"'!$M$12")</f>
        <v>Internal</v>
      </c>
      <c r="S110" s="2">
        <v>12</v>
      </c>
    </row>
    <row r="111" spans="1:19" x14ac:dyDescent="0.25">
      <c r="A111" s="2">
        <f t="shared" si="542"/>
        <v>5</v>
      </c>
      <c r="B111" s="2">
        <v>18</v>
      </c>
      <c r="C111" s="2" t="s">
        <v>208</v>
      </c>
      <c r="D111" s="101" t="s">
        <v>147</v>
      </c>
      <c r="E111" t="s">
        <v>116</v>
      </c>
      <c r="F111" t="s">
        <v>196</v>
      </c>
      <c r="G111" s="2">
        <f ca="1">INDIRECT("'"&amp;$E111&amp;"'!$M$16")</f>
        <v>0</v>
      </c>
      <c r="S111" s="2">
        <v>12</v>
      </c>
    </row>
    <row r="112" spans="1:19" x14ac:dyDescent="0.25">
      <c r="A112" s="2">
        <f t="shared" si="542"/>
        <v>5</v>
      </c>
      <c r="B112" s="2">
        <v>18</v>
      </c>
      <c r="C112" s="2" t="s">
        <v>208</v>
      </c>
      <c r="D112" s="101" t="s">
        <v>147</v>
      </c>
      <c r="E112" t="s">
        <v>116</v>
      </c>
      <c r="F112" t="s">
        <v>197</v>
      </c>
      <c r="G112" s="2">
        <f ca="1">INDIRECT("'"&amp;$E112&amp;"'!$M$20")</f>
        <v>0</v>
      </c>
      <c r="S112" s="2">
        <v>12</v>
      </c>
    </row>
    <row r="113" spans="1:19" x14ac:dyDescent="0.25">
      <c r="A113" s="2">
        <f t="shared" si="542"/>
        <v>5</v>
      </c>
      <c r="B113" s="2">
        <v>18</v>
      </c>
      <c r="C113" s="2" t="s">
        <v>208</v>
      </c>
      <c r="D113" s="101" t="s">
        <v>147</v>
      </c>
      <c r="E113" t="s">
        <v>116</v>
      </c>
      <c r="F113" t="s">
        <v>198</v>
      </c>
      <c r="G113" s="2">
        <f ca="1">INDIRECT("'"&amp;$E113&amp;"'!$M$24")</f>
        <v>0</v>
      </c>
      <c r="S113" s="2">
        <v>12</v>
      </c>
    </row>
    <row r="114" spans="1:19" x14ac:dyDescent="0.25">
      <c r="A114" s="2">
        <f t="shared" si="542"/>
        <v>5</v>
      </c>
      <c r="B114" s="2">
        <v>18</v>
      </c>
      <c r="C114" s="2" t="s">
        <v>208</v>
      </c>
      <c r="D114" s="101" t="s">
        <v>147</v>
      </c>
      <c r="E114" t="s">
        <v>114</v>
      </c>
      <c r="F114" t="s">
        <v>195</v>
      </c>
      <c r="G114" s="2">
        <f ca="1">INDIRECT("'"&amp;$E114&amp;"'!$M$12")</f>
        <v>0</v>
      </c>
      <c r="S114" s="2">
        <v>12</v>
      </c>
    </row>
    <row r="115" spans="1:19" x14ac:dyDescent="0.25">
      <c r="A115" s="2">
        <f t="shared" si="542"/>
        <v>5</v>
      </c>
      <c r="B115" s="2">
        <v>18</v>
      </c>
      <c r="C115" s="2" t="s">
        <v>208</v>
      </c>
      <c r="D115" s="101" t="s">
        <v>147</v>
      </c>
      <c r="E115" t="s">
        <v>114</v>
      </c>
      <c r="F115" t="s">
        <v>196</v>
      </c>
      <c r="G115" s="2">
        <f ca="1">INDIRECT("'"&amp;$E115&amp;"'!$M$16")</f>
        <v>0</v>
      </c>
      <c r="S115" s="2">
        <v>12</v>
      </c>
    </row>
    <row r="116" spans="1:19" x14ac:dyDescent="0.25">
      <c r="A116" s="2">
        <f t="shared" si="542"/>
        <v>5</v>
      </c>
      <c r="B116" s="2">
        <v>18</v>
      </c>
      <c r="C116" s="2" t="s">
        <v>208</v>
      </c>
      <c r="D116" s="101" t="s">
        <v>147</v>
      </c>
      <c r="E116" t="s">
        <v>114</v>
      </c>
      <c r="F116" t="s">
        <v>197</v>
      </c>
      <c r="G116" s="2">
        <f ca="1">INDIRECT("'"&amp;$E116&amp;"'!$M$20")</f>
        <v>0</v>
      </c>
      <c r="S116" s="2">
        <v>12</v>
      </c>
    </row>
    <row r="117" spans="1:19" x14ac:dyDescent="0.25">
      <c r="A117" s="2">
        <f t="shared" si="542"/>
        <v>5</v>
      </c>
      <c r="B117" s="2">
        <v>18</v>
      </c>
      <c r="C117" s="2" t="s">
        <v>208</v>
      </c>
      <c r="D117" s="101" t="s">
        <v>147</v>
      </c>
      <c r="E117" t="s">
        <v>114</v>
      </c>
      <c r="F117" t="s">
        <v>198</v>
      </c>
      <c r="G117" s="2">
        <f ca="1">INDIRECT("'"&amp;$E117&amp;"'!$M$24")</f>
        <v>0</v>
      </c>
      <c r="S117" s="2">
        <v>12</v>
      </c>
    </row>
    <row r="118" spans="1:19" x14ac:dyDescent="0.25">
      <c r="A118" s="2">
        <f t="shared" si="542"/>
        <v>5</v>
      </c>
      <c r="B118" s="2">
        <v>18</v>
      </c>
      <c r="C118" s="2" t="s">
        <v>208</v>
      </c>
      <c r="D118" s="101" t="s">
        <v>147</v>
      </c>
      <c r="E118" t="s">
        <v>111</v>
      </c>
      <c r="F118" t="s">
        <v>195</v>
      </c>
      <c r="G118" s="2" t="str">
        <f ca="1">INDIRECT("'"&amp;$E118&amp;"'!$M$12")</f>
        <v>Internal</v>
      </c>
      <c r="S118" s="2">
        <v>12</v>
      </c>
    </row>
    <row r="119" spans="1:19" x14ac:dyDescent="0.25">
      <c r="A119" s="2">
        <f t="shared" si="542"/>
        <v>5</v>
      </c>
      <c r="B119" s="2">
        <v>18</v>
      </c>
      <c r="C119" s="2" t="s">
        <v>208</v>
      </c>
      <c r="D119" s="101" t="s">
        <v>147</v>
      </c>
      <c r="E119" t="s">
        <v>111</v>
      </c>
      <c r="F119" t="s">
        <v>196</v>
      </c>
      <c r="G119" s="2" t="str">
        <f ca="1">INDIRECT("'"&amp;$E119&amp;"'!$M$16")</f>
        <v>Internal</v>
      </c>
      <c r="S119" s="2">
        <v>12</v>
      </c>
    </row>
    <row r="120" spans="1:19" x14ac:dyDescent="0.25">
      <c r="A120" s="2">
        <f t="shared" si="542"/>
        <v>5</v>
      </c>
      <c r="B120" s="2">
        <v>18</v>
      </c>
      <c r="C120" s="2" t="s">
        <v>208</v>
      </c>
      <c r="D120" s="101" t="s">
        <v>147</v>
      </c>
      <c r="E120" t="s">
        <v>111</v>
      </c>
      <c r="F120" t="s">
        <v>197</v>
      </c>
      <c r="G120" s="2" t="str">
        <f ca="1">INDIRECT("'"&amp;$E120&amp;"'!$M$20")</f>
        <v>Internal</v>
      </c>
      <c r="S120" s="2">
        <v>12</v>
      </c>
    </row>
    <row r="121" spans="1:19" x14ac:dyDescent="0.25">
      <c r="A121" s="2">
        <f t="shared" si="542"/>
        <v>5</v>
      </c>
      <c r="B121" s="2">
        <v>18</v>
      </c>
      <c r="C121" s="2" t="s">
        <v>208</v>
      </c>
      <c r="D121" s="101" t="s">
        <v>147</v>
      </c>
      <c r="E121" t="s">
        <v>111</v>
      </c>
      <c r="F121" t="s">
        <v>198</v>
      </c>
      <c r="G121" s="2">
        <f ca="1">INDIRECT("'"&amp;$E121&amp;"'!$M$24")</f>
        <v>0</v>
      </c>
      <c r="S121" s="2">
        <v>12</v>
      </c>
    </row>
    <row r="122" spans="1:19" x14ac:dyDescent="0.25">
      <c r="A122" s="2">
        <f t="shared" si="542"/>
        <v>5</v>
      </c>
      <c r="B122" s="2">
        <v>18</v>
      </c>
      <c r="C122" s="2" t="s">
        <v>208</v>
      </c>
      <c r="D122" s="101" t="s">
        <v>147</v>
      </c>
      <c r="E122" t="s">
        <v>112</v>
      </c>
      <c r="F122" t="s">
        <v>195</v>
      </c>
      <c r="G122" s="2">
        <f ca="1">INDIRECT("'"&amp;$E122&amp;"'!$M$12")</f>
        <v>0</v>
      </c>
      <c r="S122" s="2">
        <v>12</v>
      </c>
    </row>
    <row r="123" spans="1:19" x14ac:dyDescent="0.25">
      <c r="A123" s="2">
        <f t="shared" si="542"/>
        <v>5</v>
      </c>
      <c r="B123" s="2">
        <v>18</v>
      </c>
      <c r="C123" s="2" t="s">
        <v>208</v>
      </c>
      <c r="D123" s="101" t="s">
        <v>147</v>
      </c>
      <c r="E123" t="s">
        <v>112</v>
      </c>
      <c r="F123" t="s">
        <v>196</v>
      </c>
      <c r="G123" s="2">
        <f ca="1">INDIRECT("'"&amp;$E123&amp;"'!$M$16")</f>
        <v>0</v>
      </c>
      <c r="S123" s="2">
        <v>12</v>
      </c>
    </row>
    <row r="124" spans="1:19" x14ac:dyDescent="0.25">
      <c r="A124" s="2">
        <f t="shared" si="542"/>
        <v>5</v>
      </c>
      <c r="B124" s="2">
        <v>18</v>
      </c>
      <c r="C124" s="2" t="s">
        <v>208</v>
      </c>
      <c r="D124" s="101" t="s">
        <v>147</v>
      </c>
      <c r="E124" t="s">
        <v>112</v>
      </c>
      <c r="F124" t="s">
        <v>197</v>
      </c>
      <c r="G124" s="2">
        <f ca="1">INDIRECT("'"&amp;$E124&amp;"'!$M$20")</f>
        <v>0</v>
      </c>
      <c r="S124" s="2">
        <v>12</v>
      </c>
    </row>
    <row r="125" spans="1:19" x14ac:dyDescent="0.25">
      <c r="A125" s="2">
        <f t="shared" si="542"/>
        <v>5</v>
      </c>
      <c r="B125" s="2">
        <v>18</v>
      </c>
      <c r="C125" s="2" t="s">
        <v>208</v>
      </c>
      <c r="D125" s="101" t="s">
        <v>147</v>
      </c>
      <c r="E125" t="s">
        <v>112</v>
      </c>
      <c r="F125" t="s">
        <v>198</v>
      </c>
      <c r="G125" s="2">
        <f ca="1">INDIRECT("'"&amp;$E125&amp;"'!$M$24")</f>
        <v>0</v>
      </c>
      <c r="S125" s="2">
        <v>12</v>
      </c>
    </row>
    <row r="126" spans="1:19" x14ac:dyDescent="0.25">
      <c r="A126" s="2">
        <f t="shared" si="542"/>
        <v>5</v>
      </c>
      <c r="B126" s="2">
        <v>18</v>
      </c>
      <c r="C126" s="2" t="s">
        <v>208</v>
      </c>
      <c r="D126" s="101" t="s">
        <v>147</v>
      </c>
      <c r="E126" t="s">
        <v>115</v>
      </c>
      <c r="F126" t="s">
        <v>195</v>
      </c>
      <c r="G126" s="2">
        <f ca="1">INDIRECT("'"&amp;$E126&amp;"'!$M$12")</f>
        <v>0</v>
      </c>
      <c r="S126" s="2">
        <v>12</v>
      </c>
    </row>
    <row r="127" spans="1:19" x14ac:dyDescent="0.25">
      <c r="A127" s="2">
        <f t="shared" si="542"/>
        <v>5</v>
      </c>
      <c r="B127" s="2">
        <v>18</v>
      </c>
      <c r="C127" s="2" t="s">
        <v>208</v>
      </c>
      <c r="D127" s="101" t="s">
        <v>147</v>
      </c>
      <c r="E127" t="s">
        <v>115</v>
      </c>
      <c r="F127" t="s">
        <v>196</v>
      </c>
      <c r="G127" s="2">
        <f ca="1">INDIRECT("'"&amp;$E127&amp;"'!$M$16")</f>
        <v>0</v>
      </c>
      <c r="S127" s="2">
        <v>12</v>
      </c>
    </row>
    <row r="128" spans="1:19" x14ac:dyDescent="0.25">
      <c r="A128" s="2">
        <f t="shared" si="542"/>
        <v>5</v>
      </c>
      <c r="B128" s="2">
        <v>18</v>
      </c>
      <c r="C128" s="2" t="s">
        <v>208</v>
      </c>
      <c r="D128" s="101" t="s">
        <v>147</v>
      </c>
      <c r="E128" t="s">
        <v>115</v>
      </c>
      <c r="F128" t="s">
        <v>197</v>
      </c>
      <c r="G128" s="2">
        <f ca="1">INDIRECT("'"&amp;$E128&amp;"'!$M$20")</f>
        <v>0</v>
      </c>
      <c r="S128" s="2">
        <v>12</v>
      </c>
    </row>
    <row r="129" spans="1:19" x14ac:dyDescent="0.25">
      <c r="A129" s="2">
        <f t="shared" si="542"/>
        <v>5</v>
      </c>
      <c r="B129" s="2">
        <v>18</v>
      </c>
      <c r="C129" s="2" t="s">
        <v>208</v>
      </c>
      <c r="D129" s="101" t="s">
        <v>147</v>
      </c>
      <c r="E129" t="s">
        <v>115</v>
      </c>
      <c r="F129" t="s">
        <v>198</v>
      </c>
      <c r="G129" s="2">
        <f ca="1">INDIRECT("'"&amp;$E129&amp;"'!$M$24")</f>
        <v>0</v>
      </c>
      <c r="S129" s="2">
        <v>12</v>
      </c>
    </row>
    <row r="130" spans="1:19" x14ac:dyDescent="0.25">
      <c r="A130" s="2">
        <f t="shared" si="542"/>
        <v>5</v>
      </c>
      <c r="B130" s="2">
        <v>18</v>
      </c>
      <c r="C130" s="2" t="s">
        <v>208</v>
      </c>
      <c r="D130" s="101" t="s">
        <v>147</v>
      </c>
      <c r="E130" t="s">
        <v>113</v>
      </c>
      <c r="F130" t="s">
        <v>195</v>
      </c>
      <c r="G130" s="2">
        <f ca="1">INDIRECT("'"&amp;$E130&amp;"'!$M$12")</f>
        <v>0</v>
      </c>
      <c r="S130" s="2">
        <v>12</v>
      </c>
    </row>
    <row r="131" spans="1:19" x14ac:dyDescent="0.25">
      <c r="A131" s="2">
        <f t="shared" si="542"/>
        <v>5</v>
      </c>
      <c r="B131" s="2">
        <v>18</v>
      </c>
      <c r="C131" s="2" t="s">
        <v>208</v>
      </c>
      <c r="D131" s="101" t="s">
        <v>147</v>
      </c>
      <c r="E131" t="s">
        <v>113</v>
      </c>
      <c r="F131" t="s">
        <v>196</v>
      </c>
      <c r="G131" s="2">
        <f ca="1">INDIRECT("'"&amp;$E131&amp;"'!$M$16")</f>
        <v>0</v>
      </c>
      <c r="S131" s="2">
        <v>12</v>
      </c>
    </row>
    <row r="132" spans="1:19" x14ac:dyDescent="0.25">
      <c r="A132" s="2">
        <f t="shared" si="542"/>
        <v>5</v>
      </c>
      <c r="B132" s="2">
        <v>18</v>
      </c>
      <c r="C132" s="2" t="s">
        <v>208</v>
      </c>
      <c r="D132" s="101" t="s">
        <v>147</v>
      </c>
      <c r="E132" t="s">
        <v>113</v>
      </c>
      <c r="F132" t="s">
        <v>197</v>
      </c>
      <c r="G132" s="2">
        <f ca="1">INDIRECT("'"&amp;$E132&amp;"'!$M$20")</f>
        <v>0</v>
      </c>
      <c r="S132" s="2">
        <v>12</v>
      </c>
    </row>
    <row r="133" spans="1:19" x14ac:dyDescent="0.25">
      <c r="A133" s="2">
        <f t="shared" si="542"/>
        <v>5</v>
      </c>
      <c r="B133" s="2">
        <v>18</v>
      </c>
      <c r="C133" s="2" t="s">
        <v>208</v>
      </c>
      <c r="D133" s="101" t="s">
        <v>147</v>
      </c>
      <c r="E133" t="s">
        <v>113</v>
      </c>
      <c r="F133" t="s">
        <v>198</v>
      </c>
      <c r="G133" s="2">
        <f ca="1">INDIRECT("'"&amp;$E133&amp;"'!$M$24")</f>
        <v>0</v>
      </c>
      <c r="S133" s="2">
        <v>12</v>
      </c>
    </row>
    <row r="134" spans="1:19" x14ac:dyDescent="0.25">
      <c r="A134" s="2">
        <f t="shared" si="542"/>
        <v>5</v>
      </c>
      <c r="B134" s="2">
        <v>18</v>
      </c>
      <c r="C134" s="2" t="s">
        <v>208</v>
      </c>
      <c r="D134" s="101" t="s">
        <v>147</v>
      </c>
      <c r="E134" t="s">
        <v>72</v>
      </c>
      <c r="F134" t="s">
        <v>195</v>
      </c>
      <c r="G134" s="2">
        <f ca="1">INDIRECT("'"&amp;$E134&amp;"'!$M$12")</f>
        <v>0</v>
      </c>
      <c r="S134" s="2">
        <v>12</v>
      </c>
    </row>
    <row r="135" spans="1:19" x14ac:dyDescent="0.25">
      <c r="A135" s="2">
        <f t="shared" si="542"/>
        <v>5</v>
      </c>
      <c r="B135" s="2">
        <v>18</v>
      </c>
      <c r="C135" s="2" t="s">
        <v>208</v>
      </c>
      <c r="D135" s="101" t="s">
        <v>147</v>
      </c>
      <c r="E135" t="s">
        <v>72</v>
      </c>
      <c r="F135" t="s">
        <v>196</v>
      </c>
      <c r="G135" s="2">
        <f ca="1">INDIRECT("'"&amp;$E135&amp;"'!$M$16")</f>
        <v>0</v>
      </c>
      <c r="S135" s="2">
        <v>12</v>
      </c>
    </row>
    <row r="136" spans="1:19" x14ac:dyDescent="0.25">
      <c r="A136" s="2">
        <f t="shared" si="542"/>
        <v>5</v>
      </c>
      <c r="B136" s="2">
        <v>18</v>
      </c>
      <c r="C136" s="2" t="s">
        <v>208</v>
      </c>
      <c r="D136" s="101" t="s">
        <v>147</v>
      </c>
      <c r="E136" t="s">
        <v>72</v>
      </c>
      <c r="F136" t="s">
        <v>197</v>
      </c>
      <c r="G136" s="2">
        <f ca="1">INDIRECT("'"&amp;$E136&amp;"'!$M$20")</f>
        <v>0</v>
      </c>
      <c r="S136" s="2">
        <v>12</v>
      </c>
    </row>
    <row r="137" spans="1:19" x14ac:dyDescent="0.25">
      <c r="A137" s="2">
        <f t="shared" si="542"/>
        <v>5</v>
      </c>
      <c r="B137" s="2">
        <v>18</v>
      </c>
      <c r="C137" s="2" t="s">
        <v>208</v>
      </c>
      <c r="D137" s="101" t="s">
        <v>147</v>
      </c>
      <c r="E137" t="s">
        <v>72</v>
      </c>
      <c r="F137" t="s">
        <v>198</v>
      </c>
      <c r="G137" s="2">
        <f ca="1">INDIRECT("'"&amp;$E137&amp;"'!$M$24")</f>
        <v>0</v>
      </c>
      <c r="S137" s="2">
        <v>12</v>
      </c>
    </row>
    <row r="138" spans="1:19" x14ac:dyDescent="0.25">
      <c r="A138" s="2">
        <f t="shared" si="542"/>
        <v>5</v>
      </c>
      <c r="B138" s="2">
        <v>18</v>
      </c>
      <c r="C138" s="2" t="s">
        <v>208</v>
      </c>
      <c r="D138" s="101" t="s">
        <v>218</v>
      </c>
      <c r="E138" t="s">
        <v>109</v>
      </c>
      <c r="F138" t="s">
        <v>195</v>
      </c>
      <c r="G138" s="2">
        <f ca="1">INDIRECT("'"&amp;$E102&amp;"'!$N$12")</f>
        <v>0</v>
      </c>
      <c r="S138" s="2">
        <v>12</v>
      </c>
    </row>
    <row r="139" spans="1:19" x14ac:dyDescent="0.25">
      <c r="A139" s="2">
        <f t="shared" si="542"/>
        <v>5</v>
      </c>
      <c r="B139" s="2">
        <v>18</v>
      </c>
      <c r="C139" s="2" t="s">
        <v>208</v>
      </c>
      <c r="D139" s="101" t="s">
        <v>218</v>
      </c>
      <c r="E139" t="s">
        <v>109</v>
      </c>
      <c r="F139" t="s">
        <v>196</v>
      </c>
      <c r="G139" s="2">
        <f ca="1">INDIRECT("'"&amp;$E103&amp;"'!$N$16")</f>
        <v>0</v>
      </c>
      <c r="S139" s="2">
        <v>12</v>
      </c>
    </row>
    <row r="140" spans="1:19" x14ac:dyDescent="0.25">
      <c r="A140" s="2">
        <f t="shared" si="542"/>
        <v>5</v>
      </c>
      <c r="B140" s="2">
        <v>18</v>
      </c>
      <c r="C140" s="2" t="s">
        <v>208</v>
      </c>
      <c r="D140" s="101" t="s">
        <v>218</v>
      </c>
      <c r="E140" t="s">
        <v>109</v>
      </c>
      <c r="F140" t="s">
        <v>197</v>
      </c>
      <c r="G140" s="2">
        <f ca="1">INDIRECT("'"&amp;$E104&amp;"'!$N$20")</f>
        <v>0</v>
      </c>
      <c r="S140" s="2">
        <v>12</v>
      </c>
    </row>
    <row r="141" spans="1:19" x14ac:dyDescent="0.25">
      <c r="A141" s="2">
        <f t="shared" si="542"/>
        <v>5</v>
      </c>
      <c r="B141" s="2">
        <v>18</v>
      </c>
      <c r="C141" s="2" t="s">
        <v>208</v>
      </c>
      <c r="D141" s="101" t="s">
        <v>218</v>
      </c>
      <c r="E141" t="s">
        <v>109</v>
      </c>
      <c r="F141" t="s">
        <v>198</v>
      </c>
      <c r="G141" s="2">
        <f ca="1">INDIRECT("'"&amp;$E105&amp;"'!$N$24")</f>
        <v>0</v>
      </c>
      <c r="S141" s="2">
        <v>12</v>
      </c>
    </row>
    <row r="142" spans="1:19" x14ac:dyDescent="0.25">
      <c r="A142" s="2">
        <f t="shared" si="542"/>
        <v>5</v>
      </c>
      <c r="B142" s="2">
        <v>18</v>
      </c>
      <c r="C142" s="2" t="s">
        <v>208</v>
      </c>
      <c r="D142" s="101" t="s">
        <v>218</v>
      </c>
      <c r="E142" t="s">
        <v>110</v>
      </c>
      <c r="F142" t="s">
        <v>195</v>
      </c>
      <c r="G142" s="2">
        <f ca="1">INDIRECT("'"&amp;$E106&amp;"'!$N$12")</f>
        <v>0</v>
      </c>
      <c r="S142" s="2">
        <v>12</v>
      </c>
    </row>
    <row r="143" spans="1:19" x14ac:dyDescent="0.25">
      <c r="A143" s="2">
        <f t="shared" si="542"/>
        <v>5</v>
      </c>
      <c r="B143" s="2">
        <v>18</v>
      </c>
      <c r="C143" s="2" t="s">
        <v>208</v>
      </c>
      <c r="D143" s="101" t="s">
        <v>218</v>
      </c>
      <c r="E143" t="s">
        <v>110</v>
      </c>
      <c r="F143" t="s">
        <v>196</v>
      </c>
      <c r="G143" s="2">
        <f ca="1">INDIRECT("'"&amp;$E107&amp;"'!$N$16")</f>
        <v>0</v>
      </c>
      <c r="S143" s="2">
        <v>12</v>
      </c>
    </row>
    <row r="144" spans="1:19" x14ac:dyDescent="0.25">
      <c r="A144" s="2">
        <f t="shared" si="542"/>
        <v>5</v>
      </c>
      <c r="B144" s="2">
        <v>18</v>
      </c>
      <c r="C144" s="2" t="s">
        <v>208</v>
      </c>
      <c r="D144" s="101" t="s">
        <v>218</v>
      </c>
      <c r="E144" t="s">
        <v>110</v>
      </c>
      <c r="F144" t="s">
        <v>197</v>
      </c>
      <c r="G144" s="2">
        <f ca="1">INDIRECT("'"&amp;$E108&amp;"'!$N$20")</f>
        <v>0</v>
      </c>
      <c r="S144" s="2">
        <v>12</v>
      </c>
    </row>
    <row r="145" spans="1:19" x14ac:dyDescent="0.25">
      <c r="A145" s="2">
        <f t="shared" si="542"/>
        <v>5</v>
      </c>
      <c r="B145" s="2">
        <v>18</v>
      </c>
      <c r="C145" s="2" t="s">
        <v>208</v>
      </c>
      <c r="D145" s="101" t="s">
        <v>218</v>
      </c>
      <c r="E145" t="s">
        <v>110</v>
      </c>
      <c r="F145" t="s">
        <v>198</v>
      </c>
      <c r="G145" s="2">
        <f ca="1">INDIRECT("'"&amp;$E109&amp;"'!$N$24")</f>
        <v>0</v>
      </c>
      <c r="S145" s="2">
        <v>12</v>
      </c>
    </row>
    <row r="146" spans="1:19" x14ac:dyDescent="0.25">
      <c r="A146" s="2">
        <f t="shared" si="542"/>
        <v>5</v>
      </c>
      <c r="B146" s="2">
        <v>18</v>
      </c>
      <c r="C146" s="2" t="s">
        <v>208</v>
      </c>
      <c r="D146" s="101" t="s">
        <v>218</v>
      </c>
      <c r="E146" t="s">
        <v>116</v>
      </c>
      <c r="F146" t="s">
        <v>195</v>
      </c>
      <c r="G146" s="2" t="str">
        <f ca="1">INDIRECT("'"&amp;$E110&amp;"'!$N$12")</f>
        <v>Staffing has improved</v>
      </c>
      <c r="S146" s="2">
        <v>12</v>
      </c>
    </row>
    <row r="147" spans="1:19" x14ac:dyDescent="0.25">
      <c r="A147" s="2">
        <f t="shared" si="542"/>
        <v>5</v>
      </c>
      <c r="B147" s="2">
        <v>18</v>
      </c>
      <c r="C147" s="2" t="s">
        <v>208</v>
      </c>
      <c r="D147" s="101" t="s">
        <v>218</v>
      </c>
      <c r="E147" t="s">
        <v>116</v>
      </c>
      <c r="F147" t="s">
        <v>196</v>
      </c>
      <c r="G147" s="2">
        <f ca="1">INDIRECT("'"&amp;$E111&amp;"'!$N$16")</f>
        <v>0</v>
      </c>
      <c r="S147" s="2">
        <v>12</v>
      </c>
    </row>
    <row r="148" spans="1:19" x14ac:dyDescent="0.25">
      <c r="A148" s="2">
        <f t="shared" si="542"/>
        <v>5</v>
      </c>
      <c r="B148" s="2">
        <v>18</v>
      </c>
      <c r="C148" s="2" t="s">
        <v>208</v>
      </c>
      <c r="D148" s="101" t="s">
        <v>218</v>
      </c>
      <c r="E148" t="s">
        <v>116</v>
      </c>
      <c r="F148" t="s">
        <v>197</v>
      </c>
      <c r="G148" s="2">
        <f ca="1">INDIRECT("'"&amp;$E112&amp;"'!$N$20")</f>
        <v>0</v>
      </c>
      <c r="S148" s="2">
        <v>12</v>
      </c>
    </row>
    <row r="149" spans="1:19" x14ac:dyDescent="0.25">
      <c r="A149" s="2">
        <f t="shared" si="542"/>
        <v>5</v>
      </c>
      <c r="B149" s="2">
        <v>18</v>
      </c>
      <c r="C149" s="2" t="s">
        <v>208</v>
      </c>
      <c r="D149" s="101" t="s">
        <v>218</v>
      </c>
      <c r="E149" t="s">
        <v>116</v>
      </c>
      <c r="F149" t="s">
        <v>198</v>
      </c>
      <c r="G149" s="2">
        <f ca="1">INDIRECT("'"&amp;$E113&amp;"'!$N$24")</f>
        <v>0</v>
      </c>
      <c r="S149" s="2">
        <v>12</v>
      </c>
    </row>
    <row r="150" spans="1:19" x14ac:dyDescent="0.25">
      <c r="A150" s="2">
        <f t="shared" si="542"/>
        <v>5</v>
      </c>
      <c r="B150" s="2">
        <v>18</v>
      </c>
      <c r="C150" s="2" t="s">
        <v>208</v>
      </c>
      <c r="D150" s="101" t="s">
        <v>218</v>
      </c>
      <c r="E150" t="s">
        <v>114</v>
      </c>
      <c r="F150" t="s">
        <v>195</v>
      </c>
      <c r="G150" s="2">
        <f ca="1">INDIRECT("'"&amp;$E114&amp;"'!$N$12")</f>
        <v>0</v>
      </c>
      <c r="S150" s="2">
        <v>12</v>
      </c>
    </row>
    <row r="151" spans="1:19" x14ac:dyDescent="0.25">
      <c r="A151" s="2">
        <f t="shared" si="542"/>
        <v>5</v>
      </c>
      <c r="B151" s="2">
        <v>18</v>
      </c>
      <c r="C151" s="2" t="s">
        <v>208</v>
      </c>
      <c r="D151" s="101" t="s">
        <v>218</v>
      </c>
      <c r="E151" t="s">
        <v>114</v>
      </c>
      <c r="F151" t="s">
        <v>196</v>
      </c>
      <c r="G151" s="2">
        <f ca="1">INDIRECT("'"&amp;$E115&amp;"'!$N$16")</f>
        <v>0</v>
      </c>
      <c r="S151" s="2">
        <v>12</v>
      </c>
    </row>
    <row r="152" spans="1:19" x14ac:dyDescent="0.25">
      <c r="A152" s="2">
        <f t="shared" si="542"/>
        <v>5</v>
      </c>
      <c r="B152" s="2">
        <v>18</v>
      </c>
      <c r="C152" s="2" t="s">
        <v>208</v>
      </c>
      <c r="D152" s="101" t="s">
        <v>218</v>
      </c>
      <c r="E152" t="s">
        <v>114</v>
      </c>
      <c r="F152" t="s">
        <v>197</v>
      </c>
      <c r="G152" s="2">
        <f ca="1">INDIRECT("'"&amp;$E116&amp;"'!$N$20")</f>
        <v>0</v>
      </c>
      <c r="S152" s="2">
        <v>12</v>
      </c>
    </row>
    <row r="153" spans="1:19" x14ac:dyDescent="0.25">
      <c r="A153" s="2">
        <f t="shared" si="542"/>
        <v>5</v>
      </c>
      <c r="B153" s="2">
        <v>18</v>
      </c>
      <c r="C153" s="2" t="s">
        <v>208</v>
      </c>
      <c r="D153" s="101" t="s">
        <v>218</v>
      </c>
      <c r="E153" t="s">
        <v>114</v>
      </c>
      <c r="F153" t="s">
        <v>198</v>
      </c>
      <c r="G153" s="2">
        <f ca="1">INDIRECT("'"&amp;$E117&amp;"'!$N$24")</f>
        <v>0</v>
      </c>
      <c r="S153" s="2">
        <v>12</v>
      </c>
    </row>
    <row r="154" spans="1:19" x14ac:dyDescent="0.25">
      <c r="A154" s="2">
        <f t="shared" si="542"/>
        <v>5</v>
      </c>
      <c r="B154" s="2">
        <v>18</v>
      </c>
      <c r="C154" s="2" t="s">
        <v>208</v>
      </c>
      <c r="D154" s="101" t="s">
        <v>218</v>
      </c>
      <c r="E154" t="s">
        <v>111</v>
      </c>
      <c r="F154" t="s">
        <v>195</v>
      </c>
      <c r="G154" s="2" t="str">
        <f ca="1">INDIRECT("'"&amp;$E118&amp;"'!$N$12")</f>
        <v>The standard wa not met despite pursuit of all collection efforts within the control of the Clerk.  Expected improvement by 5-1-18</v>
      </c>
      <c r="S154" s="2">
        <v>12</v>
      </c>
    </row>
    <row r="155" spans="1:19" x14ac:dyDescent="0.25">
      <c r="A155" s="2">
        <f t="shared" si="542"/>
        <v>5</v>
      </c>
      <c r="B155" s="2">
        <v>18</v>
      </c>
      <c r="C155" s="2" t="s">
        <v>208</v>
      </c>
      <c r="D155" s="101" t="s">
        <v>218</v>
      </c>
      <c r="E155" t="s">
        <v>111</v>
      </c>
      <c r="F155" t="s">
        <v>196</v>
      </c>
      <c r="G155" s="2" t="str">
        <f ca="1">INDIRECT("'"&amp;$E119&amp;"'!$N$16")</f>
        <v>The Standard was not met despite pursuit of all collection efforts within the control of the Clerk. Expected improvement by 5-1-18</v>
      </c>
      <c r="S155" s="2">
        <v>12</v>
      </c>
    </row>
    <row r="156" spans="1:19" x14ac:dyDescent="0.25">
      <c r="A156" s="2">
        <f t="shared" si="542"/>
        <v>5</v>
      </c>
      <c r="B156" s="2">
        <v>18</v>
      </c>
      <c r="C156" s="2" t="s">
        <v>208</v>
      </c>
      <c r="D156" s="101" t="s">
        <v>218</v>
      </c>
      <c r="E156" t="s">
        <v>111</v>
      </c>
      <c r="F156" t="s">
        <v>197</v>
      </c>
      <c r="G156" s="2" t="str">
        <f ca="1">INDIRECT("'"&amp;$E120&amp;"'!$N$20")</f>
        <v>The Standard was not met despite pursuit of all collection efforts within the control of the Clerk. Expected improvement by 5-1-18</v>
      </c>
      <c r="S156" s="2">
        <v>12</v>
      </c>
    </row>
    <row r="157" spans="1:19" x14ac:dyDescent="0.25">
      <c r="A157" s="2">
        <f t="shared" si="542"/>
        <v>5</v>
      </c>
      <c r="B157" s="2">
        <v>18</v>
      </c>
      <c r="C157" s="2" t="s">
        <v>208</v>
      </c>
      <c r="D157" s="101" t="s">
        <v>218</v>
      </c>
      <c r="E157" t="s">
        <v>111</v>
      </c>
      <c r="F157" t="s">
        <v>198</v>
      </c>
      <c r="G157" s="2">
        <f ca="1">INDIRECT("'"&amp;$E121&amp;"'!$N$24")</f>
        <v>0</v>
      </c>
      <c r="S157" s="2">
        <v>12</v>
      </c>
    </row>
    <row r="158" spans="1:19" x14ac:dyDescent="0.25">
      <c r="A158" s="2">
        <f t="shared" si="542"/>
        <v>5</v>
      </c>
      <c r="B158" s="2">
        <v>18</v>
      </c>
      <c r="C158" s="2" t="s">
        <v>208</v>
      </c>
      <c r="D158" s="101" t="s">
        <v>218</v>
      </c>
      <c r="E158" t="s">
        <v>112</v>
      </c>
      <c r="F158" t="s">
        <v>195</v>
      </c>
      <c r="G158" s="2">
        <f ca="1">INDIRECT("'"&amp;$E122&amp;"'!$N$12")</f>
        <v>0</v>
      </c>
      <c r="S158" s="2">
        <v>12</v>
      </c>
    </row>
    <row r="159" spans="1:19" x14ac:dyDescent="0.25">
      <c r="A159" s="2">
        <f t="shared" si="542"/>
        <v>5</v>
      </c>
      <c r="B159" s="2">
        <v>18</v>
      </c>
      <c r="C159" s="2" t="s">
        <v>208</v>
      </c>
      <c r="D159" s="101" t="s">
        <v>218</v>
      </c>
      <c r="E159" t="s">
        <v>112</v>
      </c>
      <c r="F159" t="s">
        <v>196</v>
      </c>
      <c r="G159" s="2">
        <f ca="1">INDIRECT("'"&amp;$E123&amp;"'!$N$16")</f>
        <v>0</v>
      </c>
      <c r="S159" s="2">
        <v>12</v>
      </c>
    </row>
    <row r="160" spans="1:19" x14ac:dyDescent="0.25">
      <c r="A160" s="2">
        <f t="shared" si="542"/>
        <v>5</v>
      </c>
      <c r="B160" s="2">
        <v>18</v>
      </c>
      <c r="C160" s="2" t="s">
        <v>208</v>
      </c>
      <c r="D160" s="101" t="s">
        <v>218</v>
      </c>
      <c r="E160" t="s">
        <v>112</v>
      </c>
      <c r="F160" t="s">
        <v>197</v>
      </c>
      <c r="G160" s="2">
        <f ca="1">INDIRECT("'"&amp;$E124&amp;"'!$N$20")</f>
        <v>0</v>
      </c>
      <c r="S160" s="2">
        <v>12</v>
      </c>
    </row>
    <row r="161" spans="1:19" x14ac:dyDescent="0.25">
      <c r="A161" s="2">
        <f t="shared" si="542"/>
        <v>5</v>
      </c>
      <c r="B161" s="2">
        <v>18</v>
      </c>
      <c r="C161" s="2" t="s">
        <v>208</v>
      </c>
      <c r="D161" s="101" t="s">
        <v>218</v>
      </c>
      <c r="E161" t="s">
        <v>112</v>
      </c>
      <c r="F161" t="s">
        <v>198</v>
      </c>
      <c r="G161" s="2">
        <f ca="1">INDIRECT("'"&amp;$E125&amp;"'!$N$24")</f>
        <v>0</v>
      </c>
      <c r="S161" s="2">
        <v>12</v>
      </c>
    </row>
    <row r="162" spans="1:19" x14ac:dyDescent="0.25">
      <c r="A162" s="2">
        <f t="shared" si="542"/>
        <v>5</v>
      </c>
      <c r="B162" s="2">
        <v>18</v>
      </c>
      <c r="C162" s="2" t="s">
        <v>208</v>
      </c>
      <c r="D162" s="101" t="s">
        <v>218</v>
      </c>
      <c r="E162" t="s">
        <v>115</v>
      </c>
      <c r="F162" t="s">
        <v>195</v>
      </c>
      <c r="G162" s="2">
        <f ca="1">INDIRECT("'"&amp;$E126&amp;"'!$N$12")</f>
        <v>0</v>
      </c>
      <c r="S162" s="2">
        <v>12</v>
      </c>
    </row>
    <row r="163" spans="1:19" x14ac:dyDescent="0.25">
      <c r="A163" s="2">
        <f t="shared" si="542"/>
        <v>5</v>
      </c>
      <c r="B163" s="2">
        <v>18</v>
      </c>
      <c r="C163" s="2" t="s">
        <v>208</v>
      </c>
      <c r="D163" s="101" t="s">
        <v>218</v>
      </c>
      <c r="E163" t="s">
        <v>115</v>
      </c>
      <c r="F163" t="s">
        <v>196</v>
      </c>
      <c r="G163" s="2">
        <f ca="1">INDIRECT("'"&amp;$E127&amp;"'!$N$16")</f>
        <v>0</v>
      </c>
      <c r="S163" s="2">
        <v>12</v>
      </c>
    </row>
    <row r="164" spans="1:19" x14ac:dyDescent="0.25">
      <c r="A164" s="2">
        <f t="shared" si="542"/>
        <v>5</v>
      </c>
      <c r="B164" s="2">
        <v>18</v>
      </c>
      <c r="C164" s="2" t="s">
        <v>208</v>
      </c>
      <c r="D164" s="101" t="s">
        <v>218</v>
      </c>
      <c r="E164" t="s">
        <v>115</v>
      </c>
      <c r="F164" t="s">
        <v>197</v>
      </c>
      <c r="G164" s="2">
        <f ca="1">INDIRECT("'"&amp;$E128&amp;"'!$N$20")</f>
        <v>0</v>
      </c>
      <c r="S164" s="2">
        <v>12</v>
      </c>
    </row>
    <row r="165" spans="1:19" x14ac:dyDescent="0.25">
      <c r="A165" s="2">
        <f t="shared" si="542"/>
        <v>5</v>
      </c>
      <c r="B165" s="2">
        <v>18</v>
      </c>
      <c r="C165" s="2" t="s">
        <v>208</v>
      </c>
      <c r="D165" s="101" t="s">
        <v>218</v>
      </c>
      <c r="E165" t="s">
        <v>115</v>
      </c>
      <c r="F165" t="s">
        <v>198</v>
      </c>
      <c r="G165" s="2">
        <f ca="1">INDIRECT("'"&amp;$E129&amp;"'!$N$24")</f>
        <v>0</v>
      </c>
      <c r="S165" s="2">
        <v>12</v>
      </c>
    </row>
    <row r="166" spans="1:19" x14ac:dyDescent="0.25">
      <c r="A166" s="2">
        <f t="shared" si="542"/>
        <v>5</v>
      </c>
      <c r="B166" s="2">
        <v>18</v>
      </c>
      <c r="C166" s="2" t="s">
        <v>208</v>
      </c>
      <c r="D166" s="101" t="s">
        <v>218</v>
      </c>
      <c r="E166" t="s">
        <v>113</v>
      </c>
      <c r="F166" t="s">
        <v>195</v>
      </c>
      <c r="G166" s="2">
        <f ca="1">INDIRECT("'"&amp;$E130&amp;"'!$N$12")</f>
        <v>0</v>
      </c>
      <c r="S166" s="2">
        <v>12</v>
      </c>
    </row>
    <row r="167" spans="1:19" x14ac:dyDescent="0.25">
      <c r="A167" s="2">
        <f t="shared" si="542"/>
        <v>5</v>
      </c>
      <c r="B167" s="2">
        <v>18</v>
      </c>
      <c r="C167" s="2" t="s">
        <v>208</v>
      </c>
      <c r="D167" s="101" t="s">
        <v>218</v>
      </c>
      <c r="E167" t="s">
        <v>113</v>
      </c>
      <c r="F167" t="s">
        <v>196</v>
      </c>
      <c r="G167" s="2">
        <f ca="1">INDIRECT("'"&amp;$E131&amp;"'!$N$16")</f>
        <v>0</v>
      </c>
      <c r="S167" s="2">
        <v>12</v>
      </c>
    </row>
    <row r="168" spans="1:19" x14ac:dyDescent="0.25">
      <c r="A168" s="2">
        <f t="shared" ref="A168:A209" si="543">A167</f>
        <v>5</v>
      </c>
      <c r="B168" s="2">
        <v>18</v>
      </c>
      <c r="C168" s="2" t="s">
        <v>208</v>
      </c>
      <c r="D168" s="101" t="s">
        <v>218</v>
      </c>
      <c r="E168" t="s">
        <v>113</v>
      </c>
      <c r="F168" t="s">
        <v>197</v>
      </c>
      <c r="G168" s="2">
        <f ca="1">INDIRECT("'"&amp;$E132&amp;"'!$N$20")</f>
        <v>0</v>
      </c>
      <c r="S168" s="2">
        <v>12</v>
      </c>
    </row>
    <row r="169" spans="1:19" x14ac:dyDescent="0.25">
      <c r="A169" s="2">
        <f t="shared" si="543"/>
        <v>5</v>
      </c>
      <c r="B169" s="2">
        <v>18</v>
      </c>
      <c r="C169" s="2" t="s">
        <v>208</v>
      </c>
      <c r="D169" s="101" t="s">
        <v>218</v>
      </c>
      <c r="E169" t="s">
        <v>113</v>
      </c>
      <c r="F169" t="s">
        <v>198</v>
      </c>
      <c r="G169" s="2">
        <f ca="1">INDIRECT("'"&amp;$E133&amp;"'!$N$24")</f>
        <v>0</v>
      </c>
      <c r="S169" s="2">
        <v>12</v>
      </c>
    </row>
    <row r="170" spans="1:19" x14ac:dyDescent="0.25">
      <c r="A170" s="2">
        <f t="shared" si="543"/>
        <v>5</v>
      </c>
      <c r="B170" s="2">
        <v>18</v>
      </c>
      <c r="C170" s="2" t="s">
        <v>208</v>
      </c>
      <c r="D170" s="101" t="s">
        <v>218</v>
      </c>
      <c r="E170" t="s">
        <v>72</v>
      </c>
      <c r="F170" t="s">
        <v>195</v>
      </c>
      <c r="G170" s="2">
        <f ca="1">INDIRECT("'"&amp;$E134&amp;"'!$N$12")</f>
        <v>0</v>
      </c>
      <c r="S170" s="2">
        <v>12</v>
      </c>
    </row>
    <row r="171" spans="1:19" x14ac:dyDescent="0.25">
      <c r="A171" s="2">
        <f t="shared" si="543"/>
        <v>5</v>
      </c>
      <c r="B171" s="2">
        <v>18</v>
      </c>
      <c r="C171" s="2" t="s">
        <v>208</v>
      </c>
      <c r="D171" s="101" t="s">
        <v>218</v>
      </c>
      <c r="E171" t="s">
        <v>72</v>
      </c>
      <c r="F171" t="s">
        <v>196</v>
      </c>
      <c r="G171" s="2">
        <f ca="1">INDIRECT("'"&amp;$E135&amp;"'!$N$16")</f>
        <v>0</v>
      </c>
      <c r="S171" s="2">
        <v>12</v>
      </c>
    </row>
    <row r="172" spans="1:19" x14ac:dyDescent="0.25">
      <c r="A172" s="2">
        <f t="shared" si="543"/>
        <v>5</v>
      </c>
      <c r="B172" s="2">
        <v>18</v>
      </c>
      <c r="C172" s="2" t="s">
        <v>208</v>
      </c>
      <c r="D172" s="101" t="s">
        <v>218</v>
      </c>
      <c r="E172" t="s">
        <v>72</v>
      </c>
      <c r="F172" t="s">
        <v>197</v>
      </c>
      <c r="G172" s="2">
        <f ca="1">INDIRECT("'"&amp;$E136&amp;"'!$N$20")</f>
        <v>0</v>
      </c>
      <c r="S172" s="2">
        <v>12</v>
      </c>
    </row>
    <row r="173" spans="1:19" x14ac:dyDescent="0.25">
      <c r="A173" s="2">
        <f t="shared" si="543"/>
        <v>5</v>
      </c>
      <c r="B173" s="2">
        <v>18</v>
      </c>
      <c r="C173" s="2" t="s">
        <v>208</v>
      </c>
      <c r="D173" s="101" t="s">
        <v>218</v>
      </c>
      <c r="E173" t="s">
        <v>72</v>
      </c>
      <c r="F173" t="s">
        <v>198</v>
      </c>
      <c r="G173" s="2">
        <f ca="1">INDIRECT("'"&amp;$E137&amp;"'!$N$24")</f>
        <v>0</v>
      </c>
      <c r="S173" s="2">
        <v>12</v>
      </c>
    </row>
    <row r="174" spans="1:19" x14ac:dyDescent="0.25">
      <c r="A174" s="2">
        <f t="shared" si="543"/>
        <v>5</v>
      </c>
      <c r="B174" s="2">
        <v>18</v>
      </c>
      <c r="C174" s="2" t="s">
        <v>208</v>
      </c>
      <c r="D174" s="101" t="s">
        <v>219</v>
      </c>
      <c r="E174" t="s">
        <v>109</v>
      </c>
      <c r="F174" t="s">
        <v>195</v>
      </c>
      <c r="G174" s="2">
        <f ca="1">IF(N21&lt;LookupData!$AA$3,1,0)</f>
        <v>0</v>
      </c>
      <c r="S174" s="2">
        <v>12</v>
      </c>
    </row>
    <row r="175" spans="1:19" x14ac:dyDescent="0.25">
      <c r="A175" s="2">
        <f t="shared" si="543"/>
        <v>5</v>
      </c>
      <c r="B175" s="2">
        <v>18</v>
      </c>
      <c r="C175" s="2" t="s">
        <v>208</v>
      </c>
      <c r="D175" s="101" t="s">
        <v>219</v>
      </c>
      <c r="E175" t="s">
        <v>109</v>
      </c>
      <c r="F175" t="s">
        <v>196</v>
      </c>
      <c r="G175" s="2">
        <f ca="1">IF(N22&lt;LookupData!$AA$3,1,0)</f>
        <v>0</v>
      </c>
      <c r="S175" s="2">
        <v>12</v>
      </c>
    </row>
    <row r="176" spans="1:19" x14ac:dyDescent="0.25">
      <c r="A176" s="2">
        <f t="shared" si="543"/>
        <v>5</v>
      </c>
      <c r="B176" s="2">
        <v>18</v>
      </c>
      <c r="C176" s="2" t="s">
        <v>208</v>
      </c>
      <c r="D176" s="101" t="s">
        <v>219</v>
      </c>
      <c r="E176" t="s">
        <v>109</v>
      </c>
      <c r="F176" t="s">
        <v>197</v>
      </c>
      <c r="G176" s="2">
        <f ca="1">IF(N23&lt;LookupData!$AA$3,1,0)</f>
        <v>0</v>
      </c>
      <c r="S176" s="2">
        <v>12</v>
      </c>
    </row>
    <row r="177" spans="1:19" x14ac:dyDescent="0.25">
      <c r="A177" s="2">
        <f t="shared" si="543"/>
        <v>5</v>
      </c>
      <c r="B177" s="2">
        <v>18</v>
      </c>
      <c r="C177" s="2" t="s">
        <v>208</v>
      </c>
      <c r="D177" s="101" t="s">
        <v>219</v>
      </c>
      <c r="E177" t="s">
        <v>109</v>
      </c>
      <c r="F177" t="s">
        <v>198</v>
      </c>
      <c r="G177" s="2">
        <f ca="1">IF(N24&lt;LookupData!$AA$3,1,0)</f>
        <v>0</v>
      </c>
      <c r="S177" s="2">
        <v>12</v>
      </c>
    </row>
    <row r="178" spans="1:19" x14ac:dyDescent="0.25">
      <c r="A178" s="2">
        <f t="shared" si="543"/>
        <v>5</v>
      </c>
      <c r="B178" s="2">
        <v>18</v>
      </c>
      <c r="C178" s="2" t="s">
        <v>208</v>
      </c>
      <c r="D178" s="101" t="s">
        <v>219</v>
      </c>
      <c r="E178" t="s">
        <v>110</v>
      </c>
      <c r="F178" t="s">
        <v>195</v>
      </c>
      <c r="G178" s="2">
        <f ca="1">IF(N37&lt;LookupData!$AA$5,1,0)</f>
        <v>0</v>
      </c>
      <c r="S178" s="2">
        <v>12</v>
      </c>
    </row>
    <row r="179" spans="1:19" x14ac:dyDescent="0.25">
      <c r="A179" s="2">
        <f t="shared" si="543"/>
        <v>5</v>
      </c>
      <c r="B179" s="2">
        <v>18</v>
      </c>
      <c r="C179" s="2" t="s">
        <v>208</v>
      </c>
      <c r="D179" s="101" t="s">
        <v>219</v>
      </c>
      <c r="E179" t="s">
        <v>110</v>
      </c>
      <c r="F179" t="s">
        <v>196</v>
      </c>
      <c r="G179" s="2">
        <f ca="1">IF(N38&lt;LookupData!$AA$5,1,0)</f>
        <v>0</v>
      </c>
      <c r="S179" s="2">
        <v>12</v>
      </c>
    </row>
    <row r="180" spans="1:19" x14ac:dyDescent="0.25">
      <c r="A180" s="2">
        <f t="shared" si="543"/>
        <v>5</v>
      </c>
      <c r="B180" s="2">
        <v>18</v>
      </c>
      <c r="C180" s="2" t="s">
        <v>208</v>
      </c>
      <c r="D180" s="101" t="s">
        <v>219</v>
      </c>
      <c r="E180" t="s">
        <v>110</v>
      </c>
      <c r="F180" t="s">
        <v>197</v>
      </c>
      <c r="G180" s="2">
        <f ca="1">IF(N39&lt;LookupData!$AA$5,1,0)</f>
        <v>0</v>
      </c>
      <c r="S180" s="2">
        <v>12</v>
      </c>
    </row>
    <row r="181" spans="1:19" x14ac:dyDescent="0.25">
      <c r="A181" s="2">
        <f t="shared" si="543"/>
        <v>5</v>
      </c>
      <c r="B181" s="2">
        <v>18</v>
      </c>
      <c r="C181" s="2" t="s">
        <v>208</v>
      </c>
      <c r="D181" s="101" t="s">
        <v>219</v>
      </c>
      <c r="E181" t="s">
        <v>110</v>
      </c>
      <c r="F181" t="s">
        <v>198</v>
      </c>
      <c r="G181" s="2">
        <f ca="1">IF(N40&lt;LookupData!$AA$5,1,0)</f>
        <v>0</v>
      </c>
      <c r="S181" s="2">
        <v>12</v>
      </c>
    </row>
    <row r="182" spans="1:19" x14ac:dyDescent="0.25">
      <c r="A182" s="2">
        <f t="shared" si="543"/>
        <v>5</v>
      </c>
      <c r="B182" s="2">
        <v>18</v>
      </c>
      <c r="C182" s="2" t="s">
        <v>208</v>
      </c>
      <c r="D182" s="101" t="s">
        <v>219</v>
      </c>
      <c r="E182" t="s">
        <v>116</v>
      </c>
      <c r="F182" t="s">
        <v>195</v>
      </c>
      <c r="G182" s="2">
        <f ca="1">IF(N45&lt;LookupData!$AA$6,1,0)</f>
        <v>1</v>
      </c>
      <c r="S182" s="2">
        <v>12</v>
      </c>
    </row>
    <row r="183" spans="1:19" x14ac:dyDescent="0.25">
      <c r="A183" s="2">
        <f t="shared" si="543"/>
        <v>5</v>
      </c>
      <c r="B183" s="2">
        <v>18</v>
      </c>
      <c r="C183" s="2" t="s">
        <v>208</v>
      </c>
      <c r="D183" s="101" t="s">
        <v>219</v>
      </c>
      <c r="E183" t="s">
        <v>116</v>
      </c>
      <c r="F183" t="s">
        <v>196</v>
      </c>
      <c r="G183" s="2">
        <f ca="1">IF(N46&lt;LookupData!$AA$6,1,0)</f>
        <v>0</v>
      </c>
      <c r="S183" s="2">
        <v>12</v>
      </c>
    </row>
    <row r="184" spans="1:19" x14ac:dyDescent="0.25">
      <c r="A184" s="2">
        <f t="shared" si="543"/>
        <v>5</v>
      </c>
      <c r="B184" s="2">
        <v>18</v>
      </c>
      <c r="C184" s="2" t="s">
        <v>208</v>
      </c>
      <c r="D184" s="101" t="s">
        <v>219</v>
      </c>
      <c r="E184" t="s">
        <v>116</v>
      </c>
      <c r="F184" t="s">
        <v>197</v>
      </c>
      <c r="G184" s="2">
        <f ca="1">IF(N47&lt;LookupData!$AA$6,1,0)</f>
        <v>0</v>
      </c>
      <c r="S184" s="2">
        <v>12</v>
      </c>
    </row>
    <row r="185" spans="1:19" x14ac:dyDescent="0.25">
      <c r="A185" s="2">
        <f t="shared" si="543"/>
        <v>5</v>
      </c>
      <c r="B185" s="2">
        <v>18</v>
      </c>
      <c r="C185" s="2" t="s">
        <v>208</v>
      </c>
      <c r="D185" s="101" t="s">
        <v>219</v>
      </c>
      <c r="E185" t="s">
        <v>116</v>
      </c>
      <c r="F185" t="s">
        <v>198</v>
      </c>
      <c r="G185" s="2">
        <f ca="1">IF(N48&lt;LookupData!$AA$6,1,0)</f>
        <v>0</v>
      </c>
      <c r="S185" s="2">
        <v>12</v>
      </c>
    </row>
    <row r="186" spans="1:19" x14ac:dyDescent="0.25">
      <c r="A186" s="2">
        <f t="shared" si="543"/>
        <v>5</v>
      </c>
      <c r="B186" s="2">
        <v>18</v>
      </c>
      <c r="C186" s="2" t="s">
        <v>208</v>
      </c>
      <c r="D186" s="101" t="s">
        <v>219</v>
      </c>
      <c r="E186" t="s">
        <v>114</v>
      </c>
      <c r="F186" t="s">
        <v>195</v>
      </c>
      <c r="G186" s="2">
        <f ca="1">IF(N53&lt;LookupData!$AA$7,1,0)</f>
        <v>0</v>
      </c>
      <c r="S186" s="2">
        <v>12</v>
      </c>
    </row>
    <row r="187" spans="1:19" x14ac:dyDescent="0.25">
      <c r="A187" s="2">
        <f t="shared" si="543"/>
        <v>5</v>
      </c>
      <c r="B187" s="2">
        <v>18</v>
      </c>
      <c r="C187" s="2" t="s">
        <v>208</v>
      </c>
      <c r="D187" s="101" t="s">
        <v>219</v>
      </c>
      <c r="E187" t="s">
        <v>114</v>
      </c>
      <c r="F187" t="s">
        <v>196</v>
      </c>
      <c r="G187" s="2">
        <f ca="1">IF(N54&lt;LookupData!$AA$7,1,0)</f>
        <v>0</v>
      </c>
      <c r="S187" s="2">
        <v>12</v>
      </c>
    </row>
    <row r="188" spans="1:19" x14ac:dyDescent="0.25">
      <c r="A188" s="2">
        <f t="shared" si="543"/>
        <v>5</v>
      </c>
      <c r="B188" s="2">
        <v>18</v>
      </c>
      <c r="C188" s="2" t="s">
        <v>208</v>
      </c>
      <c r="D188" s="101" t="s">
        <v>219</v>
      </c>
      <c r="E188" t="s">
        <v>114</v>
      </c>
      <c r="F188" t="s">
        <v>197</v>
      </c>
      <c r="G188" s="2">
        <f ca="1">IF(N55&lt;LookupData!$AA$7,1,0)</f>
        <v>0</v>
      </c>
      <c r="S188" s="2">
        <v>12</v>
      </c>
    </row>
    <row r="189" spans="1:19" x14ac:dyDescent="0.25">
      <c r="A189" s="2">
        <f t="shared" si="543"/>
        <v>5</v>
      </c>
      <c r="B189" s="2">
        <v>18</v>
      </c>
      <c r="C189" s="2" t="s">
        <v>208</v>
      </c>
      <c r="D189" s="101" t="s">
        <v>219</v>
      </c>
      <c r="E189" t="s">
        <v>114</v>
      </c>
      <c r="F189" t="s">
        <v>198</v>
      </c>
      <c r="G189" s="2">
        <f ca="1">IF(N56&lt;LookupData!$AA$7,1,0)</f>
        <v>0</v>
      </c>
      <c r="S189" s="2">
        <v>12</v>
      </c>
    </row>
    <row r="190" spans="1:19" x14ac:dyDescent="0.25">
      <c r="A190" s="2">
        <f t="shared" si="543"/>
        <v>5</v>
      </c>
      <c r="B190" s="2">
        <v>18</v>
      </c>
      <c r="C190" s="2" t="s">
        <v>208</v>
      </c>
      <c r="D190" s="101" t="s">
        <v>219</v>
      </c>
      <c r="E190" t="s">
        <v>111</v>
      </c>
      <c r="F190" t="s">
        <v>195</v>
      </c>
      <c r="G190" s="2">
        <f ca="1">IF(N61&lt;LookupData!$AA$8,1,0)</f>
        <v>0</v>
      </c>
      <c r="S190" s="2">
        <v>12</v>
      </c>
    </row>
    <row r="191" spans="1:19" x14ac:dyDescent="0.25">
      <c r="A191" s="2">
        <f t="shared" si="543"/>
        <v>5</v>
      </c>
      <c r="B191" s="2">
        <v>18</v>
      </c>
      <c r="C191" s="2" t="s">
        <v>208</v>
      </c>
      <c r="D191" s="101" t="s">
        <v>219</v>
      </c>
      <c r="E191" t="s">
        <v>111</v>
      </c>
      <c r="F191" t="s">
        <v>196</v>
      </c>
      <c r="G191" s="2">
        <f ca="1">IF(N62&lt;LookupData!$AA$8,1,0)</f>
        <v>0</v>
      </c>
      <c r="S191" s="2">
        <v>12</v>
      </c>
    </row>
    <row r="192" spans="1:19" x14ac:dyDescent="0.25">
      <c r="A192" s="2">
        <f t="shared" si="543"/>
        <v>5</v>
      </c>
      <c r="B192" s="2">
        <v>18</v>
      </c>
      <c r="C192" s="2" t="s">
        <v>208</v>
      </c>
      <c r="D192" s="101" t="s">
        <v>219</v>
      </c>
      <c r="E192" t="s">
        <v>111</v>
      </c>
      <c r="F192" t="s">
        <v>197</v>
      </c>
      <c r="G192" s="2">
        <f ca="1">IF(N63&lt;LookupData!$AA$8,1,0)</f>
        <v>0</v>
      </c>
      <c r="S192" s="2">
        <v>12</v>
      </c>
    </row>
    <row r="193" spans="1:19" x14ac:dyDescent="0.25">
      <c r="A193" s="2">
        <f t="shared" si="543"/>
        <v>5</v>
      </c>
      <c r="B193" s="2">
        <v>18</v>
      </c>
      <c r="C193" s="2" t="s">
        <v>208</v>
      </c>
      <c r="D193" s="101" t="s">
        <v>219</v>
      </c>
      <c r="E193" t="s">
        <v>111</v>
      </c>
      <c r="F193" t="s">
        <v>198</v>
      </c>
      <c r="G193" s="2">
        <f ca="1">IF(N64&lt;LookupData!$AA$8,1,0)</f>
        <v>0</v>
      </c>
      <c r="S193" s="2">
        <v>12</v>
      </c>
    </row>
    <row r="194" spans="1:19" x14ac:dyDescent="0.25">
      <c r="A194" s="2">
        <f t="shared" si="543"/>
        <v>5</v>
      </c>
      <c r="B194" s="2">
        <v>18</v>
      </c>
      <c r="C194" s="2" t="s">
        <v>208</v>
      </c>
      <c r="D194" s="101" t="s">
        <v>219</v>
      </c>
      <c r="E194" t="s">
        <v>112</v>
      </c>
      <c r="F194" t="s">
        <v>195</v>
      </c>
      <c r="G194" s="2">
        <f ca="1">IF(N69&lt;LookupData!$AA$9,1,0)</f>
        <v>0</v>
      </c>
      <c r="S194" s="2">
        <v>12</v>
      </c>
    </row>
    <row r="195" spans="1:19" x14ac:dyDescent="0.25">
      <c r="A195" s="2">
        <f t="shared" si="543"/>
        <v>5</v>
      </c>
      <c r="B195" s="2">
        <v>18</v>
      </c>
      <c r="C195" s="2" t="s">
        <v>208</v>
      </c>
      <c r="D195" s="101" t="s">
        <v>219</v>
      </c>
      <c r="E195" t="s">
        <v>112</v>
      </c>
      <c r="F195" t="s">
        <v>196</v>
      </c>
      <c r="G195" s="2">
        <f ca="1">IF(N70&lt;LookupData!$AA$9,1,0)</f>
        <v>0</v>
      </c>
      <c r="S195" s="2">
        <v>12</v>
      </c>
    </row>
    <row r="196" spans="1:19" x14ac:dyDescent="0.25">
      <c r="A196" s="2">
        <f t="shared" si="543"/>
        <v>5</v>
      </c>
      <c r="B196" s="2">
        <v>18</v>
      </c>
      <c r="C196" s="2" t="s">
        <v>208</v>
      </c>
      <c r="D196" s="101" t="s">
        <v>219</v>
      </c>
      <c r="E196" t="s">
        <v>112</v>
      </c>
      <c r="F196" t="s">
        <v>197</v>
      </c>
      <c r="G196" s="2">
        <f ca="1">IF(N71&lt;LookupData!$AA$9,1,0)</f>
        <v>0</v>
      </c>
      <c r="S196" s="2">
        <v>12</v>
      </c>
    </row>
    <row r="197" spans="1:19" x14ac:dyDescent="0.25">
      <c r="A197" s="2">
        <f t="shared" si="543"/>
        <v>5</v>
      </c>
      <c r="B197" s="2">
        <v>18</v>
      </c>
      <c r="C197" s="2" t="s">
        <v>208</v>
      </c>
      <c r="D197" s="101" t="s">
        <v>219</v>
      </c>
      <c r="E197" t="s">
        <v>112</v>
      </c>
      <c r="F197" t="s">
        <v>198</v>
      </c>
      <c r="G197" s="2">
        <f ca="1">IF(N72&lt;LookupData!$AA$9,1,0)</f>
        <v>0</v>
      </c>
      <c r="S197" s="2">
        <v>12</v>
      </c>
    </row>
    <row r="198" spans="1:19" x14ac:dyDescent="0.25">
      <c r="A198" s="2">
        <f t="shared" si="543"/>
        <v>5</v>
      </c>
      <c r="B198" s="2">
        <v>18</v>
      </c>
      <c r="C198" s="2" t="s">
        <v>208</v>
      </c>
      <c r="D198" s="101" t="s">
        <v>219</v>
      </c>
      <c r="E198" t="s">
        <v>115</v>
      </c>
      <c r="F198" t="s">
        <v>195</v>
      </c>
      <c r="G198" s="2">
        <f ca="1">IF(N77&lt;LookupData!$AA$10,1,0)</f>
        <v>0</v>
      </c>
      <c r="S198" s="2">
        <v>12</v>
      </c>
    </row>
    <row r="199" spans="1:19" x14ac:dyDescent="0.25">
      <c r="A199" s="2">
        <f t="shared" si="543"/>
        <v>5</v>
      </c>
      <c r="B199" s="2">
        <v>18</v>
      </c>
      <c r="C199" s="2" t="s">
        <v>208</v>
      </c>
      <c r="D199" s="101" t="s">
        <v>219</v>
      </c>
      <c r="E199" t="s">
        <v>115</v>
      </c>
      <c r="F199" t="s">
        <v>196</v>
      </c>
      <c r="G199" s="2">
        <f ca="1">IF(N78&lt;LookupData!$AA$10,1,0)</f>
        <v>0</v>
      </c>
      <c r="S199" s="2">
        <v>12</v>
      </c>
    </row>
    <row r="200" spans="1:19" x14ac:dyDescent="0.25">
      <c r="A200" s="2">
        <f t="shared" si="543"/>
        <v>5</v>
      </c>
      <c r="B200" s="2">
        <v>18</v>
      </c>
      <c r="C200" s="2" t="s">
        <v>208</v>
      </c>
      <c r="D200" s="101" t="s">
        <v>219</v>
      </c>
      <c r="E200" t="s">
        <v>115</v>
      </c>
      <c r="F200" t="s">
        <v>197</v>
      </c>
      <c r="G200" s="2">
        <f ca="1">IF(N79&lt;LookupData!$AA$10,1,0)</f>
        <v>0</v>
      </c>
      <c r="S200" s="2">
        <v>12</v>
      </c>
    </row>
    <row r="201" spans="1:19" x14ac:dyDescent="0.25">
      <c r="A201" s="2">
        <f t="shared" si="543"/>
        <v>5</v>
      </c>
      <c r="B201" s="2">
        <v>18</v>
      </c>
      <c r="C201" s="2" t="s">
        <v>208</v>
      </c>
      <c r="D201" s="101" t="s">
        <v>219</v>
      </c>
      <c r="E201" t="s">
        <v>115</v>
      </c>
      <c r="F201" t="s">
        <v>198</v>
      </c>
      <c r="G201" s="2">
        <f ca="1">IF(N80&lt;LookupData!$AA$10,1,0)</f>
        <v>0</v>
      </c>
      <c r="S201" s="2">
        <v>12</v>
      </c>
    </row>
    <row r="202" spans="1:19" x14ac:dyDescent="0.25">
      <c r="A202" s="2">
        <f t="shared" si="543"/>
        <v>5</v>
      </c>
      <c r="B202" s="2">
        <v>18</v>
      </c>
      <c r="C202" s="2" t="s">
        <v>208</v>
      </c>
      <c r="D202" s="101" t="s">
        <v>219</v>
      </c>
      <c r="E202" t="s">
        <v>113</v>
      </c>
      <c r="F202" t="s">
        <v>195</v>
      </c>
      <c r="G202" s="2">
        <f ca="1">IF(N85&lt;LookupData!$AA$11,1,0)</f>
        <v>0</v>
      </c>
      <c r="S202" s="2">
        <v>12</v>
      </c>
    </row>
    <row r="203" spans="1:19" x14ac:dyDescent="0.25">
      <c r="A203" s="2">
        <f t="shared" si="543"/>
        <v>5</v>
      </c>
      <c r="B203" s="2">
        <v>18</v>
      </c>
      <c r="C203" s="2" t="s">
        <v>208</v>
      </c>
      <c r="D203" s="101" t="s">
        <v>219</v>
      </c>
      <c r="E203" t="s">
        <v>113</v>
      </c>
      <c r="F203" t="s">
        <v>196</v>
      </c>
      <c r="G203" s="2">
        <f ca="1">IF(N86&lt;LookupData!$AA$11,1,0)</f>
        <v>0</v>
      </c>
      <c r="S203" s="2">
        <v>12</v>
      </c>
    </row>
    <row r="204" spans="1:19" x14ac:dyDescent="0.25">
      <c r="A204" s="2">
        <f t="shared" si="543"/>
        <v>5</v>
      </c>
      <c r="B204" s="2">
        <v>18</v>
      </c>
      <c r="C204" s="2" t="s">
        <v>208</v>
      </c>
      <c r="D204" s="101" t="s">
        <v>219</v>
      </c>
      <c r="E204" t="s">
        <v>113</v>
      </c>
      <c r="F204" t="s">
        <v>197</v>
      </c>
      <c r="G204" s="2">
        <f ca="1">IF(N87&lt;LookupData!$AA$11,1,0)</f>
        <v>0</v>
      </c>
      <c r="S204" s="2">
        <v>12</v>
      </c>
    </row>
    <row r="205" spans="1:19" x14ac:dyDescent="0.25">
      <c r="A205" s="2">
        <f t="shared" si="543"/>
        <v>5</v>
      </c>
      <c r="B205" s="2">
        <v>18</v>
      </c>
      <c r="C205" s="2" t="s">
        <v>208</v>
      </c>
      <c r="D205" s="101" t="s">
        <v>219</v>
      </c>
      <c r="E205" t="s">
        <v>113</v>
      </c>
      <c r="F205" t="s">
        <v>198</v>
      </c>
      <c r="G205" s="2">
        <f ca="1">IF(N88&lt;LookupData!$AA$11,1,0)</f>
        <v>0</v>
      </c>
      <c r="S205" s="2">
        <v>12</v>
      </c>
    </row>
    <row r="206" spans="1:19" x14ac:dyDescent="0.25">
      <c r="A206" s="2">
        <f t="shared" si="543"/>
        <v>5</v>
      </c>
      <c r="B206" s="2">
        <v>18</v>
      </c>
      <c r="C206" s="2" t="s">
        <v>208</v>
      </c>
      <c r="D206" s="101" t="s">
        <v>219</v>
      </c>
      <c r="E206" t="s">
        <v>72</v>
      </c>
      <c r="F206" t="s">
        <v>195</v>
      </c>
      <c r="G206" s="2">
        <f ca="1">IF(N93&lt;LookupData!$AA$12,1,0)</f>
        <v>0</v>
      </c>
      <c r="S206" s="2">
        <v>12</v>
      </c>
    </row>
    <row r="207" spans="1:19" x14ac:dyDescent="0.25">
      <c r="A207" s="2">
        <f t="shared" si="543"/>
        <v>5</v>
      </c>
      <c r="B207" s="2">
        <v>18</v>
      </c>
      <c r="C207" s="2" t="s">
        <v>208</v>
      </c>
      <c r="D207" s="101" t="s">
        <v>219</v>
      </c>
      <c r="E207" t="s">
        <v>72</v>
      </c>
      <c r="F207" t="s">
        <v>196</v>
      </c>
      <c r="G207" s="2">
        <f ca="1">IF(N94&lt;LookupData!$AA$12,1,0)</f>
        <v>0</v>
      </c>
      <c r="S207" s="2">
        <v>12</v>
      </c>
    </row>
    <row r="208" spans="1:19" x14ac:dyDescent="0.25">
      <c r="A208" s="2">
        <f t="shared" si="543"/>
        <v>5</v>
      </c>
      <c r="B208" s="2">
        <v>18</v>
      </c>
      <c r="C208" s="2" t="s">
        <v>208</v>
      </c>
      <c r="D208" s="101" t="s">
        <v>219</v>
      </c>
      <c r="E208" t="s">
        <v>72</v>
      </c>
      <c r="F208" t="s">
        <v>197</v>
      </c>
      <c r="G208" s="2">
        <f ca="1">IF(N95&lt;LookupData!$AA$12,1,0)</f>
        <v>0</v>
      </c>
      <c r="S208" s="2">
        <v>12</v>
      </c>
    </row>
    <row r="209" spans="1:19" x14ac:dyDescent="0.25">
      <c r="A209" s="2">
        <f t="shared" si="543"/>
        <v>5</v>
      </c>
      <c r="B209" s="2">
        <v>18</v>
      </c>
      <c r="C209" s="2" t="s">
        <v>208</v>
      </c>
      <c r="D209" s="101" t="s">
        <v>219</v>
      </c>
      <c r="E209" t="s">
        <v>72</v>
      </c>
      <c r="F209" t="s">
        <v>198</v>
      </c>
      <c r="G209" s="2">
        <f ca="1">IF(N96&lt;LookupData!$AA$12,1,0)</f>
        <v>0</v>
      </c>
      <c r="S209" s="2">
        <v>12</v>
      </c>
    </row>
    <row r="210" spans="1:19" ht="27" x14ac:dyDescent="0.25">
      <c r="A210" s="100" t="s">
        <v>74</v>
      </c>
      <c r="B210" s="100" t="s">
        <v>95</v>
      </c>
      <c r="C210" s="100" t="s">
        <v>127</v>
      </c>
      <c r="D210" s="100" t="s">
        <v>128</v>
      </c>
      <c r="E210" s="100" t="s">
        <v>129</v>
      </c>
      <c r="F210" s="100" t="s">
        <v>130</v>
      </c>
      <c r="G210" s="100" t="s">
        <v>108</v>
      </c>
    </row>
    <row r="211" spans="1:19" x14ac:dyDescent="0.25">
      <c r="A211" s="101">
        <f t="shared" ref="A211:A220" si="544">A$21</f>
        <v>5</v>
      </c>
      <c r="B211" s="101">
        <v>18</v>
      </c>
      <c r="C211" s="101" t="s">
        <v>223</v>
      </c>
      <c r="D211" t="s">
        <v>109</v>
      </c>
      <c r="E211" s="102">
        <f ca="1">INDIRECT("'"&amp;$D211&amp;"'!$M$33")</f>
        <v>0</v>
      </c>
      <c r="F211" s="101"/>
      <c r="G211" s="101">
        <v>12</v>
      </c>
    </row>
    <row r="212" spans="1:19" x14ac:dyDescent="0.25">
      <c r="A212" s="101">
        <f t="shared" si="544"/>
        <v>5</v>
      </c>
      <c r="B212" s="101">
        <v>18</v>
      </c>
      <c r="C212" s="101" t="s">
        <v>224</v>
      </c>
      <c r="D212" t="s">
        <v>109</v>
      </c>
      <c r="E212" s="102">
        <f ca="1">INDIRECT("'"&amp;$D212&amp;"'!$M$36")</f>
        <v>0</v>
      </c>
      <c r="F212" s="101"/>
      <c r="G212" s="101">
        <v>12</v>
      </c>
    </row>
    <row r="213" spans="1:19" x14ac:dyDescent="0.25">
      <c r="A213" s="101">
        <f t="shared" si="544"/>
        <v>5</v>
      </c>
      <c r="B213" s="101">
        <v>18</v>
      </c>
      <c r="C213" s="101" t="s">
        <v>225</v>
      </c>
      <c r="D213" t="s">
        <v>109</v>
      </c>
      <c r="E213" s="102">
        <f ca="1">INDIRECT("'"&amp;$D213&amp;"'!$M$39")</f>
        <v>0</v>
      </c>
      <c r="F213" s="101"/>
      <c r="G213" s="101">
        <v>12</v>
      </c>
    </row>
    <row r="214" spans="1:19" x14ac:dyDescent="0.25">
      <c r="A214" s="101">
        <f t="shared" si="544"/>
        <v>5</v>
      </c>
      <c r="B214" s="101">
        <v>18</v>
      </c>
      <c r="C214" s="101" t="s">
        <v>226</v>
      </c>
      <c r="D214" t="s">
        <v>109</v>
      </c>
      <c r="E214" s="102">
        <f ca="1">INDIRECT("'"&amp;$D214&amp;"'!$M$42")</f>
        <v>0</v>
      </c>
      <c r="F214" s="101"/>
      <c r="G214" s="101">
        <v>12</v>
      </c>
    </row>
    <row r="215" spans="1:19" x14ac:dyDescent="0.25">
      <c r="A215" s="101">
        <f t="shared" si="544"/>
        <v>5</v>
      </c>
      <c r="B215" s="101">
        <v>18</v>
      </c>
      <c r="C215" s="101" t="s">
        <v>223</v>
      </c>
      <c r="D215" t="s">
        <v>110</v>
      </c>
      <c r="E215" s="102">
        <f ca="1">INDIRECT("'"&amp;$D215&amp;"'!$M$33")</f>
        <v>0</v>
      </c>
      <c r="F215" s="101"/>
      <c r="G215" s="101">
        <v>12</v>
      </c>
    </row>
    <row r="216" spans="1:19" x14ac:dyDescent="0.25">
      <c r="A216" s="101">
        <f t="shared" si="544"/>
        <v>5</v>
      </c>
      <c r="B216" s="101">
        <v>18</v>
      </c>
      <c r="C216" s="101" t="s">
        <v>224</v>
      </c>
      <c r="D216" t="s">
        <v>110</v>
      </c>
      <c r="E216" s="102">
        <f ca="1">INDIRECT("'"&amp;$D216&amp;"'!$M$36")</f>
        <v>0</v>
      </c>
      <c r="F216" s="101"/>
      <c r="G216" s="101">
        <v>12</v>
      </c>
    </row>
    <row r="217" spans="1:19" x14ac:dyDescent="0.25">
      <c r="A217" s="101">
        <f t="shared" si="544"/>
        <v>5</v>
      </c>
      <c r="B217" s="101">
        <v>18</v>
      </c>
      <c r="C217" s="101" t="s">
        <v>225</v>
      </c>
      <c r="D217" t="s">
        <v>110</v>
      </c>
      <c r="E217" s="102">
        <f ca="1">INDIRECT("'"&amp;$D217&amp;"'!$M$39")</f>
        <v>0</v>
      </c>
      <c r="F217" s="101"/>
      <c r="G217" s="101">
        <v>12</v>
      </c>
    </row>
    <row r="218" spans="1:19" x14ac:dyDescent="0.25">
      <c r="A218" s="101">
        <f t="shared" si="544"/>
        <v>5</v>
      </c>
      <c r="B218" s="101">
        <v>18</v>
      </c>
      <c r="C218" s="101" t="s">
        <v>226</v>
      </c>
      <c r="D218" t="s">
        <v>110</v>
      </c>
      <c r="E218" s="102">
        <f ca="1">INDIRECT("'"&amp;$D218&amp;"'!$M$42")</f>
        <v>0</v>
      </c>
      <c r="F218" s="101"/>
      <c r="G218" s="101">
        <v>12</v>
      </c>
    </row>
    <row r="219" spans="1:19" x14ac:dyDescent="0.25">
      <c r="A219" s="101">
        <f t="shared" si="544"/>
        <v>5</v>
      </c>
      <c r="B219" s="101">
        <v>18</v>
      </c>
      <c r="C219" s="101" t="s">
        <v>223</v>
      </c>
      <c r="D219" t="s">
        <v>116</v>
      </c>
      <c r="E219" s="102">
        <f ca="1">INDIRECT("'"&amp;$D219&amp;"'!$M$33")</f>
        <v>0</v>
      </c>
      <c r="F219" s="101"/>
      <c r="G219" s="101">
        <v>12</v>
      </c>
    </row>
    <row r="220" spans="1:19" x14ac:dyDescent="0.25">
      <c r="A220" s="101">
        <f t="shared" si="544"/>
        <v>5</v>
      </c>
      <c r="B220" s="101">
        <v>18</v>
      </c>
      <c r="C220" s="101" t="s">
        <v>224</v>
      </c>
      <c r="D220" t="s">
        <v>116</v>
      </c>
      <c r="E220" s="102">
        <f ca="1">INDIRECT("'"&amp;$D220&amp;"'!$M$36")</f>
        <v>0</v>
      </c>
      <c r="F220" s="101"/>
      <c r="G220" s="101">
        <v>12</v>
      </c>
    </row>
    <row r="221" spans="1:19" x14ac:dyDescent="0.25">
      <c r="C221" s="101" t="s">
        <v>225</v>
      </c>
      <c r="D221" t="s">
        <v>116</v>
      </c>
      <c r="E221" s="102">
        <f ca="1">INDIRECT("'"&amp;$D221&amp;"'!$M$39")</f>
        <v>0</v>
      </c>
      <c r="G221" s="101">
        <v>12</v>
      </c>
    </row>
    <row r="222" spans="1:19" x14ac:dyDescent="0.25">
      <c r="C222" s="101" t="s">
        <v>226</v>
      </c>
      <c r="D222" t="s">
        <v>116</v>
      </c>
      <c r="E222" s="102">
        <f ca="1">INDIRECT("'"&amp;$D222&amp;"'!$M$42")</f>
        <v>0</v>
      </c>
      <c r="G222" s="101">
        <v>12</v>
      </c>
    </row>
    <row r="223" spans="1:19" x14ac:dyDescent="0.25">
      <c r="C223" s="101" t="s">
        <v>223</v>
      </c>
      <c r="D223" t="s">
        <v>114</v>
      </c>
      <c r="E223" s="102">
        <f ca="1">INDIRECT("'"&amp;$D223&amp;"'!$M$33")</f>
        <v>0</v>
      </c>
      <c r="G223" s="101">
        <v>12</v>
      </c>
    </row>
    <row r="224" spans="1:19" x14ac:dyDescent="0.25">
      <c r="C224" s="101" t="s">
        <v>224</v>
      </c>
      <c r="D224" t="s">
        <v>114</v>
      </c>
      <c r="E224" s="102">
        <f ca="1">INDIRECT("'"&amp;$D224&amp;"'!$M$36")</f>
        <v>0</v>
      </c>
      <c r="G224" s="101">
        <v>12</v>
      </c>
    </row>
    <row r="225" spans="3:7" x14ac:dyDescent="0.25">
      <c r="C225" s="101" t="s">
        <v>225</v>
      </c>
      <c r="D225" t="s">
        <v>114</v>
      </c>
      <c r="E225" s="102">
        <f ca="1">INDIRECT("'"&amp;$D225&amp;"'!$M$39")</f>
        <v>0</v>
      </c>
      <c r="G225" s="101">
        <v>12</v>
      </c>
    </row>
    <row r="226" spans="3:7" x14ac:dyDescent="0.25">
      <c r="C226" s="101" t="s">
        <v>226</v>
      </c>
      <c r="D226" t="s">
        <v>114</v>
      </c>
      <c r="E226" s="102">
        <f ca="1">INDIRECT("'"&amp;$D226&amp;"'!$M$42")</f>
        <v>0</v>
      </c>
      <c r="G226" s="101">
        <v>12</v>
      </c>
    </row>
    <row r="227" spans="3:7" x14ac:dyDescent="0.25">
      <c r="C227" s="101" t="s">
        <v>223</v>
      </c>
      <c r="D227" t="s">
        <v>111</v>
      </c>
      <c r="E227" s="102">
        <f ca="1">INDIRECT("'"&amp;$D227&amp;"'!$M$33")</f>
        <v>0</v>
      </c>
      <c r="G227" s="101">
        <v>12</v>
      </c>
    </row>
    <row r="228" spans="3:7" x14ac:dyDescent="0.25">
      <c r="C228" s="101" t="s">
        <v>224</v>
      </c>
      <c r="D228" t="s">
        <v>111</v>
      </c>
      <c r="E228" s="102">
        <f ca="1">INDIRECT("'"&amp;$D228&amp;"'!$M$36")</f>
        <v>0</v>
      </c>
      <c r="G228" s="101">
        <v>12</v>
      </c>
    </row>
    <row r="229" spans="3:7" x14ac:dyDescent="0.25">
      <c r="C229" s="101" t="s">
        <v>225</v>
      </c>
      <c r="D229" t="s">
        <v>111</v>
      </c>
      <c r="E229" s="102">
        <f ca="1">INDIRECT("'"&amp;$D229&amp;"'!$M$39")</f>
        <v>0</v>
      </c>
      <c r="G229" s="101">
        <v>12</v>
      </c>
    </row>
    <row r="230" spans="3:7" x14ac:dyDescent="0.25">
      <c r="C230" s="101" t="s">
        <v>226</v>
      </c>
      <c r="D230" t="s">
        <v>111</v>
      </c>
      <c r="E230" s="102">
        <f ca="1">INDIRECT("'"&amp;$D230&amp;"'!$M$42")</f>
        <v>0</v>
      </c>
      <c r="G230" s="101">
        <v>12</v>
      </c>
    </row>
    <row r="231" spans="3:7" x14ac:dyDescent="0.25">
      <c r="C231" s="101" t="s">
        <v>223</v>
      </c>
      <c r="D231" t="s">
        <v>112</v>
      </c>
      <c r="E231" s="102">
        <f ca="1">INDIRECT("'"&amp;$D231&amp;"'!$M$33")</f>
        <v>0</v>
      </c>
      <c r="G231" s="101">
        <v>12</v>
      </c>
    </row>
    <row r="232" spans="3:7" x14ac:dyDescent="0.25">
      <c r="C232" s="101" t="s">
        <v>224</v>
      </c>
      <c r="D232" t="s">
        <v>112</v>
      </c>
      <c r="E232" s="102">
        <f ca="1">INDIRECT("'"&amp;$D232&amp;"'!$M$36")</f>
        <v>0</v>
      </c>
      <c r="G232" s="101">
        <v>12</v>
      </c>
    </row>
    <row r="233" spans="3:7" x14ac:dyDescent="0.25">
      <c r="C233" s="101" t="s">
        <v>225</v>
      </c>
      <c r="D233" t="s">
        <v>112</v>
      </c>
      <c r="E233" s="102">
        <f ca="1">INDIRECT("'"&amp;$D233&amp;"'!$M$39")</f>
        <v>0</v>
      </c>
      <c r="G233" s="101">
        <v>12</v>
      </c>
    </row>
    <row r="234" spans="3:7" x14ac:dyDescent="0.25">
      <c r="C234" s="101" t="s">
        <v>226</v>
      </c>
      <c r="D234" t="s">
        <v>112</v>
      </c>
      <c r="E234" s="102">
        <f ca="1">INDIRECT("'"&amp;$D234&amp;"'!$M$42")</f>
        <v>0</v>
      </c>
      <c r="G234" s="101">
        <v>12</v>
      </c>
    </row>
    <row r="235" spans="3:7" x14ac:dyDescent="0.25">
      <c r="C235" s="101" t="s">
        <v>223</v>
      </c>
      <c r="D235" t="s">
        <v>115</v>
      </c>
      <c r="E235" s="102">
        <f ca="1">INDIRECT("'"&amp;$D235&amp;"'!$M$33")</f>
        <v>0</v>
      </c>
      <c r="G235" s="101">
        <v>12</v>
      </c>
    </row>
    <row r="236" spans="3:7" x14ac:dyDescent="0.25">
      <c r="C236" s="101" t="s">
        <v>224</v>
      </c>
      <c r="D236" t="s">
        <v>115</v>
      </c>
      <c r="E236" s="102">
        <f ca="1">INDIRECT("'"&amp;$D236&amp;"'!$M$36")</f>
        <v>0</v>
      </c>
      <c r="G236" s="101">
        <v>12</v>
      </c>
    </row>
    <row r="237" spans="3:7" x14ac:dyDescent="0.25">
      <c r="C237" s="101" t="s">
        <v>225</v>
      </c>
      <c r="D237" t="s">
        <v>115</v>
      </c>
      <c r="E237" s="102">
        <f ca="1">INDIRECT("'"&amp;$D237&amp;"'!$M$39")</f>
        <v>0</v>
      </c>
      <c r="G237" s="101">
        <v>12</v>
      </c>
    </row>
    <row r="238" spans="3:7" x14ac:dyDescent="0.25">
      <c r="C238" s="101" t="s">
        <v>226</v>
      </c>
      <c r="D238" t="s">
        <v>115</v>
      </c>
      <c r="E238" s="102">
        <f ca="1">INDIRECT("'"&amp;$D238&amp;"'!$M$42")</f>
        <v>0</v>
      </c>
      <c r="G238" s="101">
        <v>12</v>
      </c>
    </row>
    <row r="239" spans="3:7" x14ac:dyDescent="0.25">
      <c r="C239" s="101" t="s">
        <v>223</v>
      </c>
      <c r="D239" t="s">
        <v>113</v>
      </c>
      <c r="E239" s="102">
        <f ca="1">INDIRECT("'"&amp;$D239&amp;"'!$M$33")</f>
        <v>0</v>
      </c>
      <c r="G239" s="101">
        <v>12</v>
      </c>
    </row>
    <row r="240" spans="3:7" x14ac:dyDescent="0.25">
      <c r="C240" s="101" t="s">
        <v>224</v>
      </c>
      <c r="D240" t="s">
        <v>113</v>
      </c>
      <c r="E240" s="102">
        <f ca="1">INDIRECT("'"&amp;$D240&amp;"'!$M$36")</f>
        <v>0</v>
      </c>
      <c r="G240" s="101">
        <v>12</v>
      </c>
    </row>
    <row r="241" spans="3:7" x14ac:dyDescent="0.25">
      <c r="C241" s="101" t="s">
        <v>225</v>
      </c>
      <c r="D241" t="s">
        <v>113</v>
      </c>
      <c r="E241" s="102">
        <f ca="1">INDIRECT("'"&amp;$D241&amp;"'!$M$39")</f>
        <v>0</v>
      </c>
      <c r="G241" s="101">
        <v>12</v>
      </c>
    </row>
    <row r="242" spans="3:7" x14ac:dyDescent="0.25">
      <c r="C242" s="101" t="s">
        <v>226</v>
      </c>
      <c r="D242" t="s">
        <v>113</v>
      </c>
      <c r="E242" s="102">
        <f ca="1">INDIRECT("'"&amp;$D242&amp;"'!$M$42")</f>
        <v>0</v>
      </c>
      <c r="G242" s="101">
        <v>12</v>
      </c>
    </row>
    <row r="243" spans="3:7" x14ac:dyDescent="0.25">
      <c r="C243" s="101" t="s">
        <v>223</v>
      </c>
      <c r="D243" t="s">
        <v>72</v>
      </c>
      <c r="E243" s="102">
        <f ca="1">INDIRECT("'"&amp;$D243&amp;"'!$M$33")</f>
        <v>0</v>
      </c>
      <c r="G243" s="101">
        <v>12</v>
      </c>
    </row>
    <row r="244" spans="3:7" x14ac:dyDescent="0.25">
      <c r="C244" s="101" t="s">
        <v>224</v>
      </c>
      <c r="D244" t="s">
        <v>72</v>
      </c>
      <c r="E244" s="102">
        <f ca="1">INDIRECT("'"&amp;$D244&amp;"'!$M$36")</f>
        <v>0</v>
      </c>
      <c r="G244" s="101">
        <v>12</v>
      </c>
    </row>
    <row r="245" spans="3:7" x14ac:dyDescent="0.25">
      <c r="C245" s="101" t="s">
        <v>225</v>
      </c>
      <c r="D245" t="s">
        <v>72</v>
      </c>
      <c r="E245" s="102">
        <f ca="1">INDIRECT("'"&amp;$D245&amp;"'!$M$39")</f>
        <v>0</v>
      </c>
      <c r="G245" s="101">
        <v>12</v>
      </c>
    </row>
    <row r="246" spans="3:7" x14ac:dyDescent="0.25">
      <c r="C246" s="101" t="s">
        <v>226</v>
      </c>
      <c r="D246" t="s">
        <v>72</v>
      </c>
      <c r="E246" s="102">
        <f ca="1">INDIRECT("'"&amp;$D246&amp;"'!$M$42")</f>
        <v>0</v>
      </c>
      <c r="G246" s="101">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62" zoomScalePageLayoutView="75" workbookViewId="0">
      <selection activeCell="I31" sqref="I31"/>
    </sheetView>
  </sheetViews>
  <sheetFormatPr defaultColWidth="9.140625" defaultRowHeight="15.75" x14ac:dyDescent="0.2"/>
  <cols>
    <col min="1" max="1" width="5" style="6" customWidth="1"/>
    <col min="2" max="2" width="4.7109375" style="6" customWidth="1"/>
    <col min="3" max="3" width="21.5703125" style="7" customWidth="1"/>
    <col min="4" max="4" width="20.140625" style="6" customWidth="1"/>
    <col min="5" max="12" width="19.140625" style="6" customWidth="1"/>
    <col min="13" max="13" width="24.140625" style="6" customWidth="1"/>
    <col min="14" max="14" width="20.57031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92" t="s">
        <v>200</v>
      </c>
      <c r="K6" s="193"/>
      <c r="L6" s="193"/>
      <c r="M6" s="193"/>
      <c r="N6" s="194"/>
    </row>
    <row r="7" spans="1:14" ht="26.25" customHeight="1" thickBot="1" x14ac:dyDescent="0.25">
      <c r="A7" s="8"/>
      <c r="J7" s="195"/>
      <c r="K7" s="196"/>
      <c r="L7" s="196"/>
      <c r="M7" s="196"/>
      <c r="N7" s="197"/>
    </row>
    <row r="8" spans="1:14" ht="26.25" customHeight="1" thickTop="1" thickBot="1" x14ac:dyDescent="0.25">
      <c r="A8" s="120" t="s">
        <v>141</v>
      </c>
      <c r="B8" s="120"/>
      <c r="C8" s="121"/>
      <c r="D8" s="31" t="str">
        <f ca="1">MID(CELL("filename",A1),FIND("]",CELL("filename",A1))+1,255)</f>
        <v>Drug Trafficking</v>
      </c>
      <c r="E8" s="10"/>
      <c r="F8" s="191" t="s">
        <v>142</v>
      </c>
      <c r="G8" s="191"/>
      <c r="H8" s="84">
        <f ca="1">INDEX(LookupData!AA3:AA12,MATCH(D8,LookupData!Z3:Z12,0))</f>
        <v>0</v>
      </c>
      <c r="J8" s="198"/>
      <c r="K8" s="199"/>
      <c r="L8" s="199"/>
      <c r="M8" s="199"/>
      <c r="N8" s="200"/>
    </row>
    <row r="9" spans="1:14" ht="19.5" customHeight="1" thickTop="1" thickBot="1" x14ac:dyDescent="0.25">
      <c r="A9" s="8"/>
      <c r="D9" s="8"/>
      <c r="E9" s="8"/>
    </row>
    <row r="10" spans="1:14" ht="25.5" customHeight="1" thickBot="1" x14ac:dyDescent="0.25">
      <c r="D10" s="1"/>
      <c r="E10" s="201" t="s">
        <v>201</v>
      </c>
      <c r="F10" s="201"/>
      <c r="G10" s="201"/>
      <c r="H10" s="201"/>
      <c r="I10" s="201"/>
      <c r="J10" s="201"/>
      <c r="K10" s="201"/>
      <c r="L10" s="202"/>
      <c r="M10" s="186" t="s">
        <v>202</v>
      </c>
      <c r="N10" s="187"/>
    </row>
    <row r="11" spans="1:14" ht="30" customHeight="1" thickBot="1" x14ac:dyDescent="0.25">
      <c r="A11" s="30"/>
      <c r="B11" s="30"/>
      <c r="C11" s="39"/>
      <c r="D11" s="1"/>
      <c r="E11" s="95" t="str">
        <f>LookupData!Y3</f>
        <v>10/01/16 - 12/31/16</v>
      </c>
      <c r="F11" s="96" t="str">
        <f>LookupData!Y4</f>
        <v>01/01/17 - 03/31/17</v>
      </c>
      <c r="G11" s="96" t="str">
        <f>LookupData!Y5</f>
        <v>04/01/17 - 06/30/17</v>
      </c>
      <c r="H11" s="96" t="str">
        <f>LookupData!Y6</f>
        <v>07/01/17 - 09/30/17</v>
      </c>
      <c r="I11" s="96" t="str">
        <f>LookupData!Y7</f>
        <v>10/01/17 - 12/31/17</v>
      </c>
      <c r="J11" s="96" t="str">
        <f>LookupData!Y8</f>
        <v>01/01/18 - 03/31/18</v>
      </c>
      <c r="K11" s="96" t="str">
        <f>LookupData!Y9</f>
        <v>04/01/18 - 06/30/18</v>
      </c>
      <c r="L11" s="97" t="str">
        <f>LookupData!Y10</f>
        <v>07/01/18 - 09/30/18</v>
      </c>
      <c r="M11" s="203" t="s">
        <v>203</v>
      </c>
      <c r="N11" s="204"/>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88"/>
      <c r="M12" s="205"/>
      <c r="N12" s="206"/>
    </row>
    <row r="13" spans="1:14" ht="19.5" customHeight="1" x14ac:dyDescent="0.2">
      <c r="A13" s="109"/>
      <c r="B13" s="110"/>
      <c r="C13" s="124" t="s">
        <v>155</v>
      </c>
      <c r="D13" s="125"/>
      <c r="E13" s="56">
        <f ca="1">SUMIFS(LookupData!I$3:I$2682,LookupData!$A$3:$A$2682,$D$4,LookupData!$B$3:$B$2682,$D$8,LookupData!$C$3:$C$2682,$A12)</f>
        <v>136</v>
      </c>
      <c r="F13" s="57">
        <f ca="1">SUMIFS(LookupData!J$3:J$2682,LookupData!$A$3:$A$2682,$D$4,LookupData!$B$3:$B$2682,$D$8,LookupData!$C$3:$C$2682,$A12)</f>
        <v>628</v>
      </c>
      <c r="G13" s="57">
        <f ca="1">SUMIFS(LookupData!K$3:K$2682,LookupData!$A$3:$A$2682,$D$4,LookupData!$B$3:$B$2682,$D$8,LookupData!$C$3:$C$2682,$A12)</f>
        <v>628</v>
      </c>
      <c r="H13" s="57">
        <f ca="1">SUMIFS(LookupData!L$3:L$2682,LookupData!$A$3:$A$2682,$D$4,LookupData!$B$3:$B$2682,$D$8,LookupData!$C$3:$C$2682,$A12)</f>
        <v>828</v>
      </c>
      <c r="I13" s="47">
        <v>828</v>
      </c>
      <c r="J13" s="127"/>
      <c r="K13" s="127"/>
      <c r="L13" s="189"/>
      <c r="M13" s="90" t="s">
        <v>204</v>
      </c>
      <c r="N13" s="85">
        <f>'Circuit Criminal'!I13-'Drug Trafficking'!I13</f>
        <v>99702.58</v>
      </c>
    </row>
    <row r="14" spans="1:14" ht="19.5" customHeight="1" thickBot="1" x14ac:dyDescent="0.25">
      <c r="A14" s="109"/>
      <c r="B14" s="110"/>
      <c r="C14" s="124" t="s">
        <v>156</v>
      </c>
      <c r="D14" s="125"/>
      <c r="E14" s="58">
        <f ca="1">SUMIFS(LookupData!D$3:D$2682,LookupData!$A$3:$A$2682,$D$4,LookupData!$B$3:$B$2682,$D$8,LookupData!$C$3:$C$2682,$A12)</f>
        <v>318498</v>
      </c>
      <c r="F14" s="59">
        <f ca="1">SUMIFS(LookupData!E$3:E$2682,LookupData!$A$3:$A$2682,$D$4,LookupData!$B$3:$B$2682,$D$8,LookupData!$C$3:$C$2682,$A12)</f>
        <v>318548</v>
      </c>
      <c r="G14" s="59">
        <f ca="1">SUMIFS(LookupData!F$3:F$2682,LookupData!$A$3:$A$2682,$D$4,LookupData!$B$3:$B$2682,$D$8,LookupData!$C$3:$C$2682,$A12)</f>
        <v>318548</v>
      </c>
      <c r="H14" s="59">
        <f ca="1">SUMIFS(LookupData!G$3:G$2682,LookupData!$A$3:$A$2682,$D$4,LookupData!$B$3:$B$2682,$D$8,LookupData!$C$3:$C$2682,$A12)</f>
        <v>318698</v>
      </c>
      <c r="I14" s="48">
        <v>318698</v>
      </c>
      <c r="J14" s="127"/>
      <c r="K14" s="127"/>
      <c r="L14" s="189"/>
      <c r="M14" s="91" t="s">
        <v>205</v>
      </c>
      <c r="N14" s="86">
        <f>'Circuit Criminal'!I14-'Drug Trafficking'!I14</f>
        <v>625199.4</v>
      </c>
    </row>
    <row r="15" spans="1:14" ht="19.5" customHeight="1" thickTop="1" thickBot="1" x14ac:dyDescent="0.25">
      <c r="A15" s="111"/>
      <c r="B15" s="112"/>
      <c r="C15" s="124" t="s">
        <v>157</v>
      </c>
      <c r="D15" s="125"/>
      <c r="E15" s="75">
        <f ca="1">IFERROR(IF(E14=0,1,ROUND(E13/E14,4)),0)</f>
        <v>4.0000000000000002E-4</v>
      </c>
      <c r="F15" s="81">
        <f t="shared" ref="F15:I15" ca="1" si="0">IFERROR(IF(F14=0,1,ROUND(F13/F14,4)),0)</f>
        <v>2E-3</v>
      </c>
      <c r="G15" s="81">
        <f t="shared" ca="1" si="0"/>
        <v>2E-3</v>
      </c>
      <c r="H15" s="81">
        <f t="shared" ca="1" si="0"/>
        <v>2.5999999999999999E-3</v>
      </c>
      <c r="I15" s="82">
        <f t="shared" si="0"/>
        <v>2.5999999999999999E-3</v>
      </c>
      <c r="J15" s="127"/>
      <c r="K15" s="127"/>
      <c r="L15" s="189"/>
      <c r="M15" s="92" t="s">
        <v>206</v>
      </c>
      <c r="N15" s="87">
        <f>IFERROR(N13/N14,1)</f>
        <v>0.15947324965443024</v>
      </c>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93"/>
      <c r="N16" s="88"/>
    </row>
    <row r="17" spans="1:16" ht="20.25" customHeight="1" x14ac:dyDescent="0.2">
      <c r="A17" s="132"/>
      <c r="B17" s="133"/>
      <c r="C17" s="124" t="s">
        <v>155</v>
      </c>
      <c r="D17" s="125"/>
      <c r="E17" s="148"/>
      <c r="F17" s="56">
        <f ca="1">SUMIFS(LookupData!I$3:I$2682,LookupData!$A$3:$A$2682,$D$4,LookupData!$B$3:$B$2682,$D$8,LookupData!$C$3:$C$2682,$A16)</f>
        <v>266</v>
      </c>
      <c r="G17" s="57">
        <f ca="1">SUMIFS(LookupData!J$3:J$2682,LookupData!$A$3:$A$2682,$D$4,LookupData!$B$3:$B$2682,$D$8,LookupData!$C$3:$C$2682,$A16)</f>
        <v>266</v>
      </c>
      <c r="H17" s="57">
        <f ca="1">SUMIFS(LookupData!K$3:K$2682,LookupData!$A$3:$A$2682,$D$4,LookupData!$B$3:$B$2682,$D$8,LookupData!$C$3:$C$2682,$A16)</f>
        <v>266</v>
      </c>
      <c r="I17" s="32">
        <v>266</v>
      </c>
      <c r="J17" s="47"/>
      <c r="K17" s="141"/>
      <c r="L17" s="143"/>
      <c r="M17" s="90" t="s">
        <v>204</v>
      </c>
      <c r="N17" s="85">
        <f>'Circuit Criminal'!I17-'Drug Trafficking'!I17</f>
        <v>105153.92</v>
      </c>
    </row>
    <row r="18" spans="1:16" ht="20.25" customHeight="1" thickBot="1" x14ac:dyDescent="0.25">
      <c r="A18" s="132"/>
      <c r="B18" s="133"/>
      <c r="C18" s="124" t="s">
        <v>156</v>
      </c>
      <c r="D18" s="125"/>
      <c r="E18" s="148"/>
      <c r="F18" s="58">
        <f ca="1">SUMIFS(LookupData!D$3:D$2682,LookupData!$A$3:$A$2682,$D$4,LookupData!$B$3:$B$2682,$D$8,LookupData!$C$3:$C$2682,$A16)</f>
        <v>817795</v>
      </c>
      <c r="G18" s="59">
        <f ca="1">SUMIFS(LookupData!E$3:E$2682,LookupData!$A$3:$A$2682,$D$4,LookupData!$B$3:$B$2682,$D$8,LookupData!$C$3:$C$2682,$A16)</f>
        <v>817795</v>
      </c>
      <c r="H18" s="59">
        <f ca="1">SUMIFS(LookupData!F$3:F$2682,LookupData!$A$3:$A$2682,$D$4,LookupData!$B$3:$B$2682,$D$8,LookupData!$C$3:$C$2682,$A16)</f>
        <v>817845</v>
      </c>
      <c r="I18" s="42">
        <v>817845</v>
      </c>
      <c r="J18" s="48"/>
      <c r="K18" s="141"/>
      <c r="L18" s="143"/>
      <c r="M18" s="91" t="s">
        <v>205</v>
      </c>
      <c r="N18" s="86">
        <f>'Circuit Criminal'!I18-'Drug Trafficking'!I18</f>
        <v>797414.10000000009</v>
      </c>
    </row>
    <row r="19" spans="1:16" ht="20.25" customHeight="1" thickTop="1" thickBot="1" x14ac:dyDescent="0.25">
      <c r="A19" s="134"/>
      <c r="B19" s="135"/>
      <c r="C19" s="136" t="s">
        <v>157</v>
      </c>
      <c r="D19" s="137"/>
      <c r="E19" s="149"/>
      <c r="F19" s="77">
        <f ca="1">IFERROR(IF(F18=0,1,ROUND(F17/F18,4)),0)</f>
        <v>2.9999999999999997E-4</v>
      </c>
      <c r="G19" s="79">
        <f t="shared" ref="G19:J19" ca="1" si="1">IFERROR(IF(G18=0,1,ROUND(G17/G18,4)),0)</f>
        <v>2.9999999999999997E-4</v>
      </c>
      <c r="H19" s="79">
        <f t="shared" ca="1" si="1"/>
        <v>2.9999999999999997E-4</v>
      </c>
      <c r="I19" s="79">
        <f t="shared" si="1"/>
        <v>2.9999999999999997E-4</v>
      </c>
      <c r="J19" s="80">
        <f t="shared" si="1"/>
        <v>1</v>
      </c>
      <c r="K19" s="144"/>
      <c r="L19" s="146"/>
      <c r="M19" s="92" t="s">
        <v>206</v>
      </c>
      <c r="N19" s="87">
        <f>IFERROR(N17/N18,1)</f>
        <v>0.13186864892406591</v>
      </c>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8"/>
      <c r="M20" s="93"/>
      <c r="N20" s="88"/>
    </row>
    <row r="21" spans="1:16" ht="20.25" customHeight="1" x14ac:dyDescent="0.2">
      <c r="A21" s="109"/>
      <c r="B21" s="110"/>
      <c r="C21" s="124" t="s">
        <v>155</v>
      </c>
      <c r="D21" s="125"/>
      <c r="E21" s="150"/>
      <c r="F21" s="151"/>
      <c r="G21" s="56">
        <f ca="1">SUMIFS(LookupData!I$3:I$2682,LookupData!$A$3:$A$2682,$D$4,LookupData!$B$3:$B$2682,$D$8,LookupData!$C$3:$C$2682,$A20)</f>
        <v>191</v>
      </c>
      <c r="H21" s="57">
        <f ca="1">SUMIFS(LookupData!J$3:J$2682,LookupData!$A$3:$A$2682,$D$4,LookupData!$B$3:$B$2682,$D$8,LookupData!$C$3:$C$2682,$A20)</f>
        <v>191</v>
      </c>
      <c r="I21" s="32">
        <v>191</v>
      </c>
      <c r="J21" s="32"/>
      <c r="K21" s="47"/>
      <c r="L21" s="148"/>
      <c r="M21" s="90" t="s">
        <v>204</v>
      </c>
      <c r="N21" s="85">
        <f>'Circuit Criminal'!I21-'Drug Trafficking'!I21</f>
        <v>83745.820000000007</v>
      </c>
    </row>
    <row r="22" spans="1:16" ht="20.25" customHeight="1" thickBot="1" x14ac:dyDescent="0.25">
      <c r="A22" s="109"/>
      <c r="B22" s="110"/>
      <c r="C22" s="124" t="s">
        <v>156</v>
      </c>
      <c r="D22" s="125"/>
      <c r="E22" s="150"/>
      <c r="F22" s="151"/>
      <c r="G22" s="58">
        <f ca="1">SUMIFS(LookupData!D$3:D$2682,LookupData!$A$3:$A$2682,$D$4,LookupData!$B$3:$B$2682,$D$8,LookupData!$C$3:$C$2682,$A20)</f>
        <v>106488</v>
      </c>
      <c r="H22" s="59">
        <f ca="1">SUMIFS(LookupData!E$3:E$2682,LookupData!$A$3:$A$2682,$D$4,LookupData!$B$3:$B$2682,$D$8,LookupData!$C$3:$C$2682,$A20)</f>
        <v>106538</v>
      </c>
      <c r="I22" s="42">
        <v>106538</v>
      </c>
      <c r="J22" s="42"/>
      <c r="K22" s="48"/>
      <c r="L22" s="148"/>
      <c r="M22" s="91" t="s">
        <v>205</v>
      </c>
      <c r="N22" s="86">
        <f>'Circuit Criminal'!I22-'Drug Trafficking'!I22</f>
        <v>723974.56</v>
      </c>
    </row>
    <row r="23" spans="1:16" ht="20.25" customHeight="1" thickTop="1" thickBot="1" x14ac:dyDescent="0.25">
      <c r="A23" s="111"/>
      <c r="B23" s="112"/>
      <c r="C23" s="124" t="s">
        <v>157</v>
      </c>
      <c r="D23" s="125"/>
      <c r="E23" s="150"/>
      <c r="F23" s="151"/>
      <c r="G23" s="75">
        <f t="shared" ref="G23:K23" ca="1" si="2">IFERROR(IF(G22=0,1,ROUND(G21/G22,4)),0)</f>
        <v>1.8E-3</v>
      </c>
      <c r="H23" s="81">
        <f t="shared" ca="1" si="2"/>
        <v>1.8E-3</v>
      </c>
      <c r="I23" s="81">
        <f t="shared" si="2"/>
        <v>1.8E-3</v>
      </c>
      <c r="J23" s="81">
        <f t="shared" si="2"/>
        <v>1</v>
      </c>
      <c r="K23" s="82">
        <f t="shared" si="2"/>
        <v>1</v>
      </c>
      <c r="L23" s="148"/>
      <c r="M23" s="92" t="s">
        <v>206</v>
      </c>
      <c r="N23" s="87">
        <f>IFERROR(N21/N22,1)</f>
        <v>0.1156750867047041</v>
      </c>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93"/>
      <c r="N24" s="88"/>
      <c r="O24"/>
      <c r="P24"/>
    </row>
    <row r="25" spans="1:16" ht="20.25" customHeight="1" x14ac:dyDescent="0.2">
      <c r="A25" s="132"/>
      <c r="B25" s="133"/>
      <c r="C25" s="124" t="s">
        <v>155</v>
      </c>
      <c r="D25" s="125"/>
      <c r="E25" s="141"/>
      <c r="F25" s="142"/>
      <c r="G25" s="143"/>
      <c r="H25" s="56">
        <f ca="1">SUMIFS(LookupData!I$3:I$2682,LookupData!$A$3:$A$2682,$D$4,LookupData!$B$3:$B$2682,$D$8,LookupData!$C$3:$C$2682,$A24)</f>
        <v>182</v>
      </c>
      <c r="I25" s="32">
        <v>247</v>
      </c>
      <c r="J25" s="32"/>
      <c r="K25" s="32"/>
      <c r="L25" s="47"/>
      <c r="M25" s="90" t="s">
        <v>204</v>
      </c>
      <c r="N25" s="85">
        <f>'Circuit Criminal'!I25-'Drug Trafficking'!I25</f>
        <v>57371.73</v>
      </c>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529567</v>
      </c>
      <c r="I26" s="42">
        <v>529567</v>
      </c>
      <c r="J26" s="42"/>
      <c r="K26" s="42"/>
      <c r="L26" s="48"/>
      <c r="M26" s="91" t="s">
        <v>205</v>
      </c>
      <c r="N26" s="86">
        <f>'Circuit Criminal'!I26-'Drug Trafficking'!I26</f>
        <v>666729.85000000009</v>
      </c>
      <c r="O26"/>
      <c r="P26"/>
    </row>
    <row r="27" spans="1:16" ht="20.25" customHeight="1" thickTop="1" thickBot="1" x14ac:dyDescent="0.25">
      <c r="A27" s="134"/>
      <c r="B27" s="135"/>
      <c r="C27" s="136" t="s">
        <v>157</v>
      </c>
      <c r="D27" s="137"/>
      <c r="E27" s="144"/>
      <c r="F27" s="145"/>
      <c r="G27" s="146"/>
      <c r="H27" s="77">
        <f t="shared" ref="H27:L27" ca="1" si="3">IFERROR(IF(H26=0,1,ROUND(H25/H26,4)),0)</f>
        <v>2.9999999999999997E-4</v>
      </c>
      <c r="I27" s="79">
        <f t="shared" si="3"/>
        <v>5.0000000000000001E-4</v>
      </c>
      <c r="J27" s="79">
        <f t="shared" si="3"/>
        <v>1</v>
      </c>
      <c r="K27" s="79">
        <f t="shared" si="3"/>
        <v>1</v>
      </c>
      <c r="L27" s="80">
        <f t="shared" si="3"/>
        <v>1</v>
      </c>
      <c r="M27" s="94" t="s">
        <v>206</v>
      </c>
      <c r="N27" s="89">
        <f>IFERROR(N25/N26,1)</f>
        <v>8.6049439664355798E-2</v>
      </c>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c r="N28"/>
      <c r="O28"/>
      <c r="P28"/>
    </row>
    <row r="29" spans="1:16" ht="20.25" customHeight="1" x14ac:dyDescent="0.2">
      <c r="A29" s="109"/>
      <c r="B29" s="110"/>
      <c r="C29" s="124" t="s">
        <v>155</v>
      </c>
      <c r="D29" s="125"/>
      <c r="E29" s="141"/>
      <c r="F29" s="142"/>
      <c r="G29" s="142"/>
      <c r="H29" s="143"/>
      <c r="I29" s="46">
        <v>193</v>
      </c>
      <c r="J29" s="32"/>
      <c r="K29" s="32"/>
      <c r="L29" s="47"/>
      <c r="M29"/>
      <c r="N29"/>
      <c r="O29"/>
      <c r="P29"/>
    </row>
    <row r="30" spans="1:16" ht="20.25" customHeight="1" thickBot="1" x14ac:dyDescent="0.25">
      <c r="A30" s="109"/>
      <c r="B30" s="110"/>
      <c r="C30" s="124" t="s">
        <v>156</v>
      </c>
      <c r="D30" s="125"/>
      <c r="E30" s="141"/>
      <c r="F30" s="142"/>
      <c r="G30" s="142"/>
      <c r="H30" s="143"/>
      <c r="I30" s="41">
        <v>108095</v>
      </c>
      <c r="J30" s="42"/>
      <c r="K30" s="42"/>
      <c r="L30" s="48"/>
      <c r="M30"/>
      <c r="N30"/>
      <c r="O30"/>
      <c r="P30"/>
    </row>
    <row r="31" spans="1:16" ht="20.25" customHeight="1" thickTop="1" thickBot="1" x14ac:dyDescent="0.25">
      <c r="A31" s="111"/>
      <c r="B31" s="112"/>
      <c r="C31" s="136" t="s">
        <v>157</v>
      </c>
      <c r="D31" s="137"/>
      <c r="E31" s="144"/>
      <c r="F31" s="145"/>
      <c r="G31" s="145"/>
      <c r="H31" s="146"/>
      <c r="I31" s="77">
        <f t="shared" ref="I31:L31" si="4">IFERROR(IF(I30=0,1,ROUND(I29/I30,4)),0)</f>
        <v>1.8E-3</v>
      </c>
      <c r="J31" s="79">
        <f t="shared" si="4"/>
        <v>1</v>
      </c>
      <c r="K31" s="79">
        <f t="shared" si="4"/>
        <v>1</v>
      </c>
      <c r="L31" s="80">
        <f t="shared" si="4"/>
        <v>1</v>
      </c>
      <c r="M31"/>
      <c r="N31"/>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5" t="s">
        <v>152</v>
      </c>
      <c r="M32"/>
      <c r="N32"/>
      <c r="O32"/>
      <c r="P32"/>
    </row>
    <row r="33" spans="1:16" ht="20.25" customHeight="1" x14ac:dyDescent="0.2">
      <c r="A33" s="132"/>
      <c r="B33" s="133"/>
      <c r="C33" s="124" t="s">
        <v>155</v>
      </c>
      <c r="D33" s="125"/>
      <c r="E33" s="141"/>
      <c r="F33" s="142"/>
      <c r="G33" s="142"/>
      <c r="H33" s="142"/>
      <c r="I33" s="143"/>
      <c r="J33" s="46"/>
      <c r="K33" s="32"/>
      <c r="L33" s="47"/>
      <c r="M33"/>
      <c r="N33"/>
      <c r="O33"/>
      <c r="P33"/>
    </row>
    <row r="34" spans="1:16" ht="20.25" customHeight="1" thickBot="1" x14ac:dyDescent="0.25">
      <c r="A34" s="132"/>
      <c r="B34" s="133"/>
      <c r="C34" s="124" t="s">
        <v>156</v>
      </c>
      <c r="D34" s="125"/>
      <c r="E34" s="141"/>
      <c r="F34" s="142"/>
      <c r="G34" s="142"/>
      <c r="H34" s="142"/>
      <c r="I34" s="143"/>
      <c r="J34" s="41"/>
      <c r="K34" s="42"/>
      <c r="L34" s="48"/>
      <c r="M34"/>
      <c r="N34"/>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80">
        <f t="shared" si="5"/>
        <v>1</v>
      </c>
      <c r="M35"/>
      <c r="N35"/>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5" t="s">
        <v>151</v>
      </c>
      <c r="M36"/>
      <c r="N36"/>
      <c r="O36"/>
      <c r="P36"/>
    </row>
    <row r="37" spans="1:16" ht="20.25" customHeight="1" x14ac:dyDescent="0.2">
      <c r="A37" s="109"/>
      <c r="B37" s="110"/>
      <c r="C37" s="124" t="s">
        <v>155</v>
      </c>
      <c r="D37" s="125"/>
      <c r="E37" s="141"/>
      <c r="F37" s="142"/>
      <c r="G37" s="142"/>
      <c r="H37" s="142"/>
      <c r="I37" s="142"/>
      <c r="J37" s="143"/>
      <c r="K37" s="46"/>
      <c r="L37" s="47"/>
      <c r="M37"/>
      <c r="N37"/>
      <c r="O37"/>
      <c r="P37"/>
    </row>
    <row r="38" spans="1:16" ht="20.25" customHeight="1" thickBot="1" x14ac:dyDescent="0.25">
      <c r="A38" s="109"/>
      <c r="B38" s="110"/>
      <c r="C38" s="124" t="s">
        <v>156</v>
      </c>
      <c r="D38" s="125"/>
      <c r="E38" s="141"/>
      <c r="F38" s="142"/>
      <c r="G38" s="142"/>
      <c r="H38" s="142"/>
      <c r="I38" s="142"/>
      <c r="J38" s="143"/>
      <c r="K38" s="41"/>
      <c r="L38" s="48"/>
      <c r="M38"/>
      <c r="N38"/>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80">
        <f t="shared" si="6"/>
        <v>1</v>
      </c>
      <c r="M39"/>
      <c r="N39"/>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9" t="s">
        <v>150</v>
      </c>
      <c r="M40"/>
      <c r="N40"/>
      <c r="O40"/>
      <c r="P40"/>
    </row>
    <row r="41" spans="1:16" ht="20.25" customHeight="1" x14ac:dyDescent="0.2">
      <c r="A41" s="132"/>
      <c r="B41" s="133"/>
      <c r="C41" s="124" t="s">
        <v>155</v>
      </c>
      <c r="D41" s="125"/>
      <c r="E41" s="141"/>
      <c r="F41" s="142"/>
      <c r="G41" s="142"/>
      <c r="H41" s="142"/>
      <c r="I41" s="142"/>
      <c r="J41" s="142"/>
      <c r="K41" s="143"/>
      <c r="L41" s="50"/>
      <c r="M41"/>
      <c r="N41"/>
      <c r="O41"/>
      <c r="P41"/>
    </row>
    <row r="42" spans="1:16" ht="20.25" customHeight="1" thickBot="1" x14ac:dyDescent="0.25">
      <c r="A42" s="132"/>
      <c r="B42" s="133"/>
      <c r="C42" s="124" t="s">
        <v>156</v>
      </c>
      <c r="D42" s="125"/>
      <c r="E42" s="141"/>
      <c r="F42" s="142"/>
      <c r="G42" s="142"/>
      <c r="H42" s="142"/>
      <c r="I42" s="142"/>
      <c r="J42" s="142"/>
      <c r="K42" s="143"/>
      <c r="L42" s="51"/>
      <c r="M42"/>
      <c r="N42"/>
      <c r="O42"/>
      <c r="P42"/>
    </row>
    <row r="43" spans="1:16" ht="20.25" customHeight="1" thickTop="1" thickBot="1" x14ac:dyDescent="0.25">
      <c r="A43" s="134"/>
      <c r="B43" s="135"/>
      <c r="C43" s="136" t="s">
        <v>157</v>
      </c>
      <c r="D43" s="137"/>
      <c r="E43" s="144"/>
      <c r="F43" s="145"/>
      <c r="G43" s="145"/>
      <c r="H43" s="145"/>
      <c r="I43" s="145"/>
      <c r="J43" s="145"/>
      <c r="K43" s="146"/>
      <c r="L43" s="98">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58" t="s">
        <v>168</v>
      </c>
      <c r="C45" s="158"/>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8Zv9JsT1r8Xk4CFopdaGfQKTi3Kp5TTOQJ+mpzim1G1UW/3qgj4nUel3AG5PbmY7c+WeTScWbN8UtU07YiGKgQ==" saltValue="6aJYqp72mrJrXzkRAk8fDw==" spinCount="100000" sheet="1" objects="1" scenarios="1" formatColumns="0"/>
  <mergeCells count="64">
    <mergeCell ref="B45:C45"/>
    <mergeCell ref="D45:G45"/>
    <mergeCell ref="H45:K45"/>
    <mergeCell ref="J6:N8"/>
    <mergeCell ref="E10:L10"/>
    <mergeCell ref="M11:N12"/>
    <mergeCell ref="C40:D40"/>
    <mergeCell ref="E40:K43"/>
    <mergeCell ref="C41:D41"/>
    <mergeCell ref="C42:D42"/>
    <mergeCell ref="C43:D43"/>
    <mergeCell ref="A36:B39"/>
    <mergeCell ref="C36:D36"/>
    <mergeCell ref="E36:J39"/>
    <mergeCell ref="C37:D37"/>
    <mergeCell ref="C38:D38"/>
    <mergeCell ref="C39:D39"/>
    <mergeCell ref="A40:B43"/>
    <mergeCell ref="A32:B35"/>
    <mergeCell ref="C32:D32"/>
    <mergeCell ref="E32:I35"/>
    <mergeCell ref="C33:D33"/>
    <mergeCell ref="C34:D34"/>
    <mergeCell ref="C35:D35"/>
    <mergeCell ref="A28:B31"/>
    <mergeCell ref="C28:D28"/>
    <mergeCell ref="E28:H31"/>
    <mergeCell ref="C29:D29"/>
    <mergeCell ref="C30:D30"/>
    <mergeCell ref="C31:D31"/>
    <mergeCell ref="A24:B27"/>
    <mergeCell ref="C24:D24"/>
    <mergeCell ref="E24:G27"/>
    <mergeCell ref="C25:D25"/>
    <mergeCell ref="C26:D26"/>
    <mergeCell ref="C27:D27"/>
    <mergeCell ref="A20:B23"/>
    <mergeCell ref="C20:D20"/>
    <mergeCell ref="E20:F23"/>
    <mergeCell ref="L20:L23"/>
    <mergeCell ref="C21:D21"/>
    <mergeCell ref="C22:D22"/>
    <mergeCell ref="C23:D23"/>
    <mergeCell ref="K16:L19"/>
    <mergeCell ref="C17:D17"/>
    <mergeCell ref="C18:D18"/>
    <mergeCell ref="C19:D19"/>
    <mergeCell ref="C13:D13"/>
    <mergeCell ref="C14:D14"/>
    <mergeCell ref="C15:D15"/>
    <mergeCell ref="A16:B19"/>
    <mergeCell ref="C16:D16"/>
    <mergeCell ref="E16:E19"/>
    <mergeCell ref="A8:C8"/>
    <mergeCell ref="F8:G8"/>
    <mergeCell ref="M10:N10"/>
    <mergeCell ref="A12:B15"/>
    <mergeCell ref="C12:D12"/>
    <mergeCell ref="J12:L15"/>
    <mergeCell ref="D4:E4"/>
    <mergeCell ref="H4:I4"/>
    <mergeCell ref="D5:E5"/>
    <mergeCell ref="M5:N5"/>
    <mergeCell ref="D6:E6"/>
  </mergeCells>
  <conditionalFormatting sqref="F14:I14">
    <cfRule type="expression" dxfId="167" priority="14">
      <formula>F14&gt;(MIN($E14:E14))</formula>
    </cfRule>
  </conditionalFormatting>
  <conditionalFormatting sqref="F13:I13">
    <cfRule type="expression" dxfId="166" priority="13">
      <formula>F13&lt;(MAX($E13:E13))</formula>
    </cfRule>
  </conditionalFormatting>
  <conditionalFormatting sqref="G17:J17">
    <cfRule type="expression" dxfId="165" priority="12">
      <formula>G17&lt;(MAX($F17:F17))</formula>
    </cfRule>
  </conditionalFormatting>
  <conditionalFormatting sqref="G18:J18">
    <cfRule type="expression" dxfId="164" priority="11">
      <formula>G18&gt;(MIN($F18:F18))</formula>
    </cfRule>
  </conditionalFormatting>
  <conditionalFormatting sqref="H22:K22">
    <cfRule type="expression" dxfId="163" priority="10">
      <formula>H22&gt;(MIN($G22:G22))</formula>
    </cfRule>
  </conditionalFormatting>
  <conditionalFormatting sqref="H21:K21">
    <cfRule type="expression" dxfId="162" priority="9">
      <formula>H21&lt;(MAX($G21:G21))</formula>
    </cfRule>
  </conditionalFormatting>
  <conditionalFormatting sqref="I26:L26">
    <cfRule type="expression" dxfId="161" priority="8">
      <formula>I26&gt;(MIN($H26:H26))</formula>
    </cfRule>
  </conditionalFormatting>
  <conditionalFormatting sqref="I25:L25">
    <cfRule type="expression" dxfId="160" priority="7">
      <formula>I25&lt;(MAX($H25:H25))</formula>
    </cfRule>
  </conditionalFormatting>
  <conditionalFormatting sqref="J30:L30">
    <cfRule type="expression" dxfId="159" priority="6">
      <formula>J30&gt;(MIN($I30:I30))</formula>
    </cfRule>
  </conditionalFormatting>
  <conditionalFormatting sqref="J29:L29">
    <cfRule type="expression" dxfId="158" priority="5">
      <formula>J29&lt;(MAX($I29:I29))</formula>
    </cfRule>
  </conditionalFormatting>
  <conditionalFormatting sqref="K34:L34">
    <cfRule type="expression" dxfId="157" priority="4">
      <formula>K34&gt;(MIN($J34:J34))</formula>
    </cfRule>
  </conditionalFormatting>
  <conditionalFormatting sqref="K33:L33">
    <cfRule type="expression" dxfId="156" priority="3">
      <formula>K33&lt;(MAX($J33:J33))</formula>
    </cfRule>
  </conditionalFormatting>
  <conditionalFormatting sqref="L38">
    <cfRule type="expression" dxfId="155" priority="2">
      <formula>L38&gt;(MIN($G38:K38))</formula>
    </cfRule>
  </conditionalFormatting>
  <conditionalFormatting sqref="L37">
    <cfRule type="expression" dxfId="154"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85" zoomScaleNormal="85" zoomScaleSheetLayoutView="62" zoomScalePageLayoutView="75" workbookViewId="0">
      <selection activeCell="I31" sqref="I31"/>
    </sheetView>
  </sheetViews>
  <sheetFormatPr defaultColWidth="9.140625" defaultRowHeight="15.75" x14ac:dyDescent="0.2"/>
  <cols>
    <col min="1" max="1" width="5" style="6" customWidth="1"/>
    <col min="2" max="2" width="4.7109375" style="6" customWidth="1"/>
    <col min="3" max="3" width="22.28515625" style="7" customWidth="1"/>
    <col min="4" max="4" width="20.140625" style="6" customWidth="1"/>
    <col min="5" max="12" width="19.140625" style="6" customWidth="1"/>
    <col min="13" max="13" width="19.28515625" style="6" customWidth="1"/>
    <col min="14" max="14" width="39.285156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County Criminal</v>
      </c>
      <c r="E8" s="10"/>
      <c r="F8" s="120" t="s">
        <v>142</v>
      </c>
      <c r="G8" s="120"/>
      <c r="H8" s="38">
        <f ca="1">INDEX(LookupData!AA3:AA12,MATCH(D8,LookupData!Z3:Z12,0))</f>
        <v>0.4</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74032.77</v>
      </c>
      <c r="F13" s="57">
        <f ca="1">SUMIFS(LookupData!J$3:J$2682,LookupData!$A$3:$A$2682,$D$4,LookupData!$B$3:$B$2682,$D$8,LookupData!$C$3:$C$2682,$A12)</f>
        <v>113962.84</v>
      </c>
      <c r="G13" s="57">
        <f ca="1">SUMIFS(LookupData!K$3:K$2682,LookupData!$A$3:$A$2682,$D$4,LookupData!$B$3:$B$2682,$D$8,LookupData!$C$3:$C$2682,$A12)</f>
        <v>140578.34</v>
      </c>
      <c r="H13" s="57">
        <f ca="1">SUMIFS(LookupData!L$3:L$2682,LookupData!$A$3:$A$2682,$D$4,LookupData!$B$3:$B$2682,$D$8,LookupData!$C$3:$C$2682,$A12)</f>
        <v>160838.74</v>
      </c>
      <c r="I13" s="47">
        <v>175256.9</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444802.13</v>
      </c>
      <c r="F14" s="59">
        <f ca="1">SUMIFS(LookupData!E$3:E$2682,LookupData!$A$3:$A$2682,$D$4,LookupData!$B$3:$B$2682,$D$8,LookupData!$C$3:$C$2682,$A12)</f>
        <v>438341.13</v>
      </c>
      <c r="G14" s="59">
        <f ca="1">SUMIFS(LookupData!F$3:F$2682,LookupData!$A$3:$A$2682,$D$4,LookupData!$B$3:$B$2682,$D$8,LookupData!$C$3:$C$2682,$A12)</f>
        <v>436767.63</v>
      </c>
      <c r="H14" s="59">
        <f ca="1">SUMIFS(LookupData!G$3:G$2682,LookupData!$A$3:$A$2682,$D$4,LookupData!$B$3:$B$2682,$D$8,LookupData!$C$3:$C$2682,$A12)</f>
        <v>436417.63</v>
      </c>
      <c r="I14" s="48">
        <v>436031.63</v>
      </c>
      <c r="J14" s="127"/>
      <c r="K14" s="127"/>
      <c r="L14" s="127"/>
      <c r="M14" s="116"/>
      <c r="N14" s="118"/>
    </row>
    <row r="15" spans="1:14" ht="19.5" customHeight="1" thickTop="1" thickBot="1" x14ac:dyDescent="0.25">
      <c r="A15" s="111"/>
      <c r="B15" s="112"/>
      <c r="C15" s="124" t="s">
        <v>157</v>
      </c>
      <c r="D15" s="125"/>
      <c r="E15" s="75">
        <f ca="1">IFERROR(IF(E14=0,1,ROUND(E13/E14,4)),0)</f>
        <v>0.16639999999999999</v>
      </c>
      <c r="F15" s="81">
        <f t="shared" ref="F15:I15" ca="1" si="0">IFERROR(IF(F14=0,1,ROUND(F13/F14,4)),0)</f>
        <v>0.26</v>
      </c>
      <c r="G15" s="81">
        <f t="shared" ca="1" si="0"/>
        <v>0.32190000000000002</v>
      </c>
      <c r="H15" s="81">
        <f t="shared" ca="1" si="0"/>
        <v>0.36849999999999999</v>
      </c>
      <c r="I15" s="82">
        <f t="shared" si="0"/>
        <v>0.40189999999999998</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91605.22</v>
      </c>
      <c r="G17" s="57">
        <f ca="1">SUMIFS(LookupData!J$3:J$2682,LookupData!$A$3:$A$2682,$D$4,LookupData!$B$3:$B$2682,$D$8,LookupData!$C$3:$C$2682,$A16)</f>
        <v>132039.47</v>
      </c>
      <c r="H17" s="57">
        <f ca="1">SUMIFS(LookupData!K$3:K$2682,LookupData!$A$3:$A$2682,$D$4,LookupData!$B$3:$B$2682,$D$8,LookupData!$C$3:$C$2682,$A16)</f>
        <v>164212.01</v>
      </c>
      <c r="I17" s="32">
        <v>188901.22</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533541.80000000005</v>
      </c>
      <c r="G18" s="59">
        <f ca="1">SUMIFS(LookupData!E$3:E$2682,LookupData!$A$3:$A$2682,$D$4,LookupData!$B$3:$B$2682,$D$8,LookupData!$C$3:$C$2682,$A16)</f>
        <v>526798.30000000005</v>
      </c>
      <c r="H18" s="59">
        <f ca="1">SUMIFS(LookupData!F$3:F$2682,LookupData!$A$3:$A$2682,$D$4,LookupData!$B$3:$B$2682,$D$8,LookupData!$C$3:$C$2682,$A16)</f>
        <v>525527.80000000005</v>
      </c>
      <c r="I18" s="42">
        <v>524608.80000000005</v>
      </c>
      <c r="J18" s="48"/>
      <c r="K18" s="141"/>
      <c r="L18" s="143"/>
      <c r="M18" s="152"/>
      <c r="N18" s="153"/>
    </row>
    <row r="19" spans="1:16" ht="20.25" customHeight="1" thickTop="1" thickBot="1" x14ac:dyDescent="0.25">
      <c r="A19" s="134"/>
      <c r="B19" s="135"/>
      <c r="C19" s="136" t="s">
        <v>157</v>
      </c>
      <c r="D19" s="137"/>
      <c r="E19" s="149"/>
      <c r="F19" s="77">
        <f ca="1">IFERROR(IF(F18=0,1,ROUND(F17/F18,4)),0)</f>
        <v>0.17169999999999999</v>
      </c>
      <c r="G19" s="79">
        <f t="shared" ref="G19:J19" ca="1" si="1">IFERROR(IF(G18=0,1,ROUND(G17/G18,4)),0)</f>
        <v>0.25059999999999999</v>
      </c>
      <c r="H19" s="79">
        <f t="shared" ca="1" si="1"/>
        <v>0.3125</v>
      </c>
      <c r="I19" s="79">
        <f t="shared" si="1"/>
        <v>0.36009999999999998</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98837.86</v>
      </c>
      <c r="H21" s="57">
        <f ca="1">SUMIFS(LookupData!J$3:J$2682,LookupData!$A$3:$A$2682,$D$4,LookupData!$B$3:$B$2682,$D$8,LookupData!$C$3:$C$2682,$A20)</f>
        <v>141347.54999999999</v>
      </c>
      <c r="I21" s="32">
        <v>177659.16</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533896.4</v>
      </c>
      <c r="H22" s="59">
        <f ca="1">SUMIFS(LookupData!E$3:E$2682,LookupData!$A$3:$A$2682,$D$4,LookupData!$B$3:$B$2682,$D$8,LookupData!$C$3:$C$2682,$A20)</f>
        <v>527699.4</v>
      </c>
      <c r="I22" s="42">
        <v>526685.4</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0.18509999999999999</v>
      </c>
      <c r="H23" s="81">
        <f t="shared" ca="1" si="2"/>
        <v>0.26790000000000003</v>
      </c>
      <c r="I23" s="81">
        <f t="shared" si="2"/>
        <v>0.33729999999999999</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91365.45</v>
      </c>
      <c r="I25" s="32">
        <v>128459.12</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490208.1</v>
      </c>
      <c r="I26" s="42">
        <v>482007.6</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0.18640000000000001</v>
      </c>
      <c r="I27" s="79">
        <f t="shared" si="3"/>
        <v>0.26650000000000001</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84906.36</v>
      </c>
      <c r="J29" s="32"/>
      <c r="K29" s="32"/>
      <c r="L29" s="47"/>
      <c r="M29" s="150"/>
      <c r="N29" s="183"/>
      <c r="O29"/>
      <c r="P29"/>
    </row>
    <row r="30" spans="1:16" ht="20.25" customHeight="1" thickBot="1" x14ac:dyDescent="0.25">
      <c r="A30" s="109"/>
      <c r="B30" s="110"/>
      <c r="C30" s="124" t="s">
        <v>156</v>
      </c>
      <c r="D30" s="125"/>
      <c r="E30" s="141"/>
      <c r="F30" s="142"/>
      <c r="G30" s="142"/>
      <c r="H30" s="143"/>
      <c r="I30" s="41">
        <v>515994.45</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0.16450000000000001</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53.25" customHeight="1" x14ac:dyDescent="0.3">
      <c r="B45" s="158" t="s">
        <v>168</v>
      </c>
      <c r="C45" s="158"/>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D1oWQf3iBmTovxyd2pOISZpEdyu/FFmXZRMJsYsrwMmruZB75lumXzMS2e4DhDRM0xZ+xbpCPDs+r0c61Rw/ZQ==" saltValue="hmmAew4ArLjuXXplug1tLg==" spinCount="100000" sheet="1" objects="1" scenarios="1" formatColumns="0"/>
  <mergeCells count="82">
    <mergeCell ref="D45:G45"/>
    <mergeCell ref="H45:K45"/>
    <mergeCell ref="B45:C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53" priority="19">
      <formula>$I$15&lt;$H$8</formula>
    </cfRule>
  </conditionalFormatting>
  <conditionalFormatting sqref="M16:N19">
    <cfRule type="expression" dxfId="152" priority="18">
      <formula>$J$19&lt;$H$8</formula>
    </cfRule>
  </conditionalFormatting>
  <conditionalFormatting sqref="M20:N23">
    <cfRule type="expression" dxfId="151" priority="17">
      <formula>$K$23&lt;$H$8</formula>
    </cfRule>
  </conditionalFormatting>
  <conditionalFormatting sqref="M24:N27">
    <cfRule type="expression" dxfId="150" priority="16">
      <formula>$L$27&lt;$H$8</formula>
    </cfRule>
  </conditionalFormatting>
  <conditionalFormatting sqref="F14:I14">
    <cfRule type="expression" dxfId="149" priority="15">
      <formula>F14&gt;(MIN($E14:E14))</formula>
    </cfRule>
  </conditionalFormatting>
  <conditionalFormatting sqref="F13:I13">
    <cfRule type="expression" dxfId="148" priority="14">
      <formula>F13&lt;(MAX($E13:E13))</formula>
    </cfRule>
  </conditionalFormatting>
  <conditionalFormatting sqref="G17:J17">
    <cfRule type="expression" dxfId="147" priority="13">
      <formula>G17&lt;(MAX($F17:F17))</formula>
    </cfRule>
  </conditionalFormatting>
  <conditionalFormatting sqref="G18:J18">
    <cfRule type="expression" dxfId="146" priority="12">
      <formula>G18&gt;(MIN($F18:F18))</formula>
    </cfRule>
  </conditionalFormatting>
  <conditionalFormatting sqref="H22:K22">
    <cfRule type="expression" dxfId="145" priority="11">
      <formula>H22&gt;(MIN($G22:G22))</formula>
    </cfRule>
  </conditionalFormatting>
  <conditionalFormatting sqref="H21:K21">
    <cfRule type="expression" dxfId="144" priority="10">
      <formula>H21&lt;(MAX($G21:G21))</formula>
    </cfRule>
  </conditionalFormatting>
  <conditionalFormatting sqref="I26:L26">
    <cfRule type="expression" dxfId="143" priority="9">
      <formula>I26&gt;(MIN($H26:H26))</formula>
    </cfRule>
  </conditionalFormatting>
  <conditionalFormatting sqref="I25:L25">
    <cfRule type="expression" dxfId="142" priority="8">
      <formula>I25&lt;(MAX($H25:H25))</formula>
    </cfRule>
  </conditionalFormatting>
  <conditionalFormatting sqref="J30:L30">
    <cfRule type="expression" dxfId="141" priority="7">
      <formula>J30&gt;(MIN($I30:I30))</formula>
    </cfRule>
  </conditionalFormatting>
  <conditionalFormatting sqref="J29:L29">
    <cfRule type="expression" dxfId="140" priority="6">
      <formula>J29&lt;(MAX($I29:I29))</formula>
    </cfRule>
  </conditionalFormatting>
  <conditionalFormatting sqref="K34:L34">
    <cfRule type="expression" dxfId="139" priority="5">
      <formula>K34&gt;(MIN($J34:J34))</formula>
    </cfRule>
  </conditionalFormatting>
  <conditionalFormatting sqref="K33:L33">
    <cfRule type="expression" dxfId="138" priority="4">
      <formula>K33&lt;(MAX($J33:J33))</formula>
    </cfRule>
  </conditionalFormatting>
  <conditionalFormatting sqref="L38">
    <cfRule type="expression" dxfId="137" priority="3">
      <formula>L38&gt;(MIN($G38:K38))</formula>
    </cfRule>
  </conditionalFormatting>
  <conditionalFormatting sqref="L37">
    <cfRule type="expression" dxfId="136" priority="2">
      <formula>L37&lt;(MAX($K37:K37))</formula>
    </cfRule>
  </conditionalFormatting>
  <conditionalFormatting sqref="I15 J19 K23 L27">
    <cfRule type="expression" dxfId="135"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18" zoomScale="85" zoomScaleNormal="85" zoomScaleSheetLayoutView="62" zoomScalePageLayoutView="75" workbookViewId="0">
      <selection activeCell="N12" sqref="N12:N1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Juvenile Delinquency</v>
      </c>
      <c r="E8" s="10"/>
      <c r="F8" s="120" t="s">
        <v>142</v>
      </c>
      <c r="G8" s="120"/>
      <c r="H8" s="38">
        <f ca="1">INDEX(LookupData!AA3:AA12,MATCH(D8,LookupData!Z3:Z12,0))</f>
        <v>0.09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t="s">
        <v>161</v>
      </c>
      <c r="N12" s="117" t="s">
        <v>232</v>
      </c>
    </row>
    <row r="13" spans="1:14" ht="19.5" customHeight="1" x14ac:dyDescent="0.2">
      <c r="A13" s="109"/>
      <c r="B13" s="110"/>
      <c r="C13" s="124" t="s">
        <v>155</v>
      </c>
      <c r="D13" s="125"/>
      <c r="E13" s="56">
        <f ca="1">SUMIFS(LookupData!I$3:I$2682,LookupData!$A$3:$A$2682,$D$4,LookupData!$B$3:$B$2682,$D$8,LookupData!$C$3:$C$2682,$A12)</f>
        <v>607.04999999999995</v>
      </c>
      <c r="F13" s="57">
        <f ca="1">SUMIFS(LookupData!J$3:J$2682,LookupData!$A$3:$A$2682,$D$4,LookupData!$B$3:$B$2682,$D$8,LookupData!$C$3:$C$2682,$A12)</f>
        <v>1251.05</v>
      </c>
      <c r="G13" s="57">
        <f ca="1">SUMIFS(LookupData!K$3:K$2682,LookupData!$A$3:$A$2682,$D$4,LookupData!$B$3:$B$2682,$D$8,LookupData!$C$3:$C$2682,$A12)</f>
        <v>1705.05</v>
      </c>
      <c r="H13" s="57">
        <f ca="1">SUMIFS(LookupData!L$3:L$2682,LookupData!$A$3:$A$2682,$D$4,LookupData!$B$3:$B$2682,$D$8,LookupData!$C$3:$C$2682,$A12)</f>
        <v>1936.05</v>
      </c>
      <c r="I13" s="47">
        <v>2451.0500000000002</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34673.050000000003</v>
      </c>
      <c r="F14" s="59">
        <f ca="1">SUMIFS(LookupData!E$3:E$2682,LookupData!$A$3:$A$2682,$D$4,LookupData!$B$3:$B$2682,$D$8,LookupData!$C$3:$C$2682,$A12)</f>
        <v>34473.050000000003</v>
      </c>
      <c r="G14" s="59">
        <f ca="1">SUMIFS(LookupData!F$3:F$2682,LookupData!$A$3:$A$2682,$D$4,LookupData!$B$3:$B$2682,$D$8,LookupData!$C$3:$C$2682,$A12)</f>
        <v>34423.050000000003</v>
      </c>
      <c r="H14" s="59">
        <f ca="1">SUMIFS(LookupData!G$3:G$2682,LookupData!$A$3:$A$2682,$D$4,LookupData!$B$3:$B$2682,$D$8,LookupData!$C$3:$C$2682,$A12)</f>
        <v>34073.050000000003</v>
      </c>
      <c r="I14" s="48">
        <v>33973.050000000003</v>
      </c>
      <c r="J14" s="127"/>
      <c r="K14" s="127"/>
      <c r="L14" s="127"/>
      <c r="M14" s="116"/>
      <c r="N14" s="118"/>
    </row>
    <row r="15" spans="1:14" ht="19.5" customHeight="1" thickTop="1" thickBot="1" x14ac:dyDescent="0.25">
      <c r="A15" s="111"/>
      <c r="B15" s="112"/>
      <c r="C15" s="124" t="s">
        <v>157</v>
      </c>
      <c r="D15" s="125"/>
      <c r="E15" s="75">
        <f ca="1">IFERROR(IF(E14=0,1,ROUND(E13/E14,4)),0)</f>
        <v>1.7500000000000002E-2</v>
      </c>
      <c r="F15" s="81">
        <f t="shared" ref="F15:I15" ca="1" si="0">IFERROR(IF(F14=0,1,ROUND(F13/F14,4)),0)</f>
        <v>3.6299999999999999E-2</v>
      </c>
      <c r="G15" s="81">
        <f t="shared" ca="1" si="0"/>
        <v>4.9500000000000002E-2</v>
      </c>
      <c r="H15" s="81">
        <f t="shared" ca="1" si="0"/>
        <v>5.6800000000000003E-2</v>
      </c>
      <c r="I15" s="82">
        <f t="shared" si="0"/>
        <v>7.2099999999999997E-2</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1296.8499999999999</v>
      </c>
      <c r="G17" s="57">
        <f ca="1">SUMIFS(LookupData!J$3:J$2682,LookupData!$A$3:$A$2682,$D$4,LookupData!$B$3:$B$2682,$D$8,LookupData!$C$3:$C$2682,$A16)</f>
        <v>2356.85</v>
      </c>
      <c r="H17" s="57">
        <f ca="1">SUMIFS(LookupData!K$3:K$2682,LookupData!$A$3:$A$2682,$D$4,LookupData!$B$3:$B$2682,$D$8,LookupData!$C$3:$C$2682,$A16)</f>
        <v>2712.85</v>
      </c>
      <c r="I17" s="32">
        <v>2988.85</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48038.35</v>
      </c>
      <c r="G18" s="59">
        <f ca="1">SUMIFS(LookupData!E$3:E$2682,LookupData!$A$3:$A$2682,$D$4,LookupData!$B$3:$B$2682,$D$8,LookupData!$C$3:$C$2682,$A16)</f>
        <v>47588.35</v>
      </c>
      <c r="H18" s="59">
        <f ca="1">SUMIFS(LookupData!F$3:F$2682,LookupData!$A$3:$A$2682,$D$4,LookupData!$B$3:$B$2682,$D$8,LookupData!$C$3:$C$2682,$A16)</f>
        <v>47088.35</v>
      </c>
      <c r="I18" s="42">
        <v>46988.35</v>
      </c>
      <c r="J18" s="48"/>
      <c r="K18" s="141"/>
      <c r="L18" s="143"/>
      <c r="M18" s="152"/>
      <c r="N18" s="153"/>
    </row>
    <row r="19" spans="1:16" ht="20.25" customHeight="1" thickTop="1" thickBot="1" x14ac:dyDescent="0.25">
      <c r="A19" s="134"/>
      <c r="B19" s="135"/>
      <c r="C19" s="136" t="s">
        <v>157</v>
      </c>
      <c r="D19" s="137"/>
      <c r="E19" s="149"/>
      <c r="F19" s="77">
        <f ca="1">IFERROR(IF(F18=0,1,ROUND(F17/F18,4)),0)</f>
        <v>2.7E-2</v>
      </c>
      <c r="G19" s="79">
        <f t="shared" ref="G19:J19" ca="1" si="1">IFERROR(IF(G18=0,1,ROUND(G17/G18,4)),0)</f>
        <v>4.9500000000000002E-2</v>
      </c>
      <c r="H19" s="79">
        <f t="shared" ca="1" si="1"/>
        <v>5.7599999999999998E-2</v>
      </c>
      <c r="I19" s="79">
        <f t="shared" si="1"/>
        <v>6.3600000000000004E-2</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901.4</v>
      </c>
      <c r="H21" s="57">
        <f ca="1">SUMIFS(LookupData!J$3:J$2682,LookupData!$A$3:$A$2682,$D$4,LookupData!$B$3:$B$2682,$D$8,LookupData!$C$3:$C$2682,$A20)</f>
        <v>1051.4000000000001</v>
      </c>
      <c r="I21" s="32">
        <v>1512.4</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43913.4</v>
      </c>
      <c r="H22" s="59">
        <f ca="1">SUMIFS(LookupData!E$3:E$2682,LookupData!$A$3:$A$2682,$D$4,LookupData!$B$3:$B$2682,$D$8,LookupData!$C$3:$C$2682,$A20)</f>
        <v>43313.4</v>
      </c>
      <c r="I22" s="42">
        <v>42963.4</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2.0500000000000001E-2</v>
      </c>
      <c r="H23" s="81">
        <f t="shared" ca="1" si="2"/>
        <v>2.4299999999999999E-2</v>
      </c>
      <c r="I23" s="81">
        <f t="shared" si="2"/>
        <v>3.5200000000000002E-2</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912.2</v>
      </c>
      <c r="I25" s="32">
        <v>1185.7</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33353.199999999997</v>
      </c>
      <c r="I26" s="42">
        <v>32653.200000000001</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2.7300000000000001E-2</v>
      </c>
      <c r="I27" s="79">
        <f t="shared" si="3"/>
        <v>3.6299999999999999E-2</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1011.1</v>
      </c>
      <c r="J29" s="32"/>
      <c r="K29" s="32"/>
      <c r="L29" s="47"/>
      <c r="M29" s="150"/>
      <c r="N29" s="183"/>
      <c r="O29"/>
      <c r="P29"/>
    </row>
    <row r="30" spans="1:16" ht="20.25" customHeight="1" thickBot="1" x14ac:dyDescent="0.25">
      <c r="A30" s="109"/>
      <c r="B30" s="110"/>
      <c r="C30" s="124" t="s">
        <v>156</v>
      </c>
      <c r="D30" s="125"/>
      <c r="E30" s="141"/>
      <c r="F30" s="142"/>
      <c r="G30" s="142"/>
      <c r="H30" s="143"/>
      <c r="I30" s="41">
        <v>28156.6</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3.5900000000000001E-2</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qGwCB8H6b7yv+5MT/NNZG/cNG6srPMXth3ZXEKN8kcSYGuvEVlw7xKC7VBBuLMPvbdNjFCbhTJUQIMVcB82qPg==" saltValue="/JlkhahA7yxggDoP5kLisg==" spinCount="100000" sheet="1" objects="1" scenarios="1"/>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34" priority="19">
      <formula>$I$15&lt;$H$8</formula>
    </cfRule>
  </conditionalFormatting>
  <conditionalFormatting sqref="M16:N19">
    <cfRule type="expression" dxfId="133" priority="18">
      <formula>$J$19&lt;$H$8</formula>
    </cfRule>
  </conditionalFormatting>
  <conditionalFormatting sqref="M20:N23">
    <cfRule type="expression" dxfId="132" priority="17">
      <formula>$K$23&lt;$H$8</formula>
    </cfRule>
  </conditionalFormatting>
  <conditionalFormatting sqref="M24:N27">
    <cfRule type="expression" dxfId="131" priority="16">
      <formula>$L$27&lt;$H$8</formula>
    </cfRule>
  </conditionalFormatting>
  <conditionalFormatting sqref="F14:I14">
    <cfRule type="expression" dxfId="130" priority="15">
      <formula>F14&gt;(MIN($E14:E14))</formula>
    </cfRule>
  </conditionalFormatting>
  <conditionalFormatting sqref="F13:I13">
    <cfRule type="expression" dxfId="129" priority="14">
      <formula>F13&lt;(MAX($E13:E13))</formula>
    </cfRule>
  </conditionalFormatting>
  <conditionalFormatting sqref="G17:J17">
    <cfRule type="expression" dxfId="128" priority="13">
      <formula>G17&lt;(MAX($F17:F17))</formula>
    </cfRule>
  </conditionalFormatting>
  <conditionalFormatting sqref="G18:J18">
    <cfRule type="expression" dxfId="127" priority="12">
      <formula>G18&gt;(MIN($F18:F18))</formula>
    </cfRule>
  </conditionalFormatting>
  <conditionalFormatting sqref="H22:K22">
    <cfRule type="expression" dxfId="126" priority="11">
      <formula>H22&gt;(MIN($G22:G22))</formula>
    </cfRule>
  </conditionalFormatting>
  <conditionalFormatting sqref="H21:K21">
    <cfRule type="expression" dxfId="125" priority="10">
      <formula>H21&lt;(MAX($G21:G21))</formula>
    </cfRule>
  </conditionalFormatting>
  <conditionalFormatting sqref="I26:L26">
    <cfRule type="expression" dxfId="124" priority="9">
      <formula>I26&gt;(MIN($H26:H26))</formula>
    </cfRule>
  </conditionalFormatting>
  <conditionalFormatting sqref="I25:L25">
    <cfRule type="expression" dxfId="123" priority="8">
      <formula>I25&lt;(MAX($H25:H25))</formula>
    </cfRule>
  </conditionalFormatting>
  <conditionalFormatting sqref="J30:L30">
    <cfRule type="expression" dxfId="122" priority="7">
      <formula>J30&gt;(MIN($I30:I30))</formula>
    </cfRule>
  </conditionalFormatting>
  <conditionalFormatting sqref="J29:L29">
    <cfRule type="expression" dxfId="121" priority="6">
      <formula>J29&lt;(MAX($I29:I29))</formula>
    </cfRule>
  </conditionalFormatting>
  <conditionalFormatting sqref="K34:L34">
    <cfRule type="expression" dxfId="120" priority="5">
      <formula>K34&gt;(MIN($J34:J34))</formula>
    </cfRule>
  </conditionalFormatting>
  <conditionalFormatting sqref="K33:L33">
    <cfRule type="expression" dxfId="119" priority="4">
      <formula>K33&lt;(MAX($J33:J33))</formula>
    </cfRule>
  </conditionalFormatting>
  <conditionalFormatting sqref="L38">
    <cfRule type="expression" dxfId="118" priority="3">
      <formula>L38&gt;(MIN($G38:K38))</formula>
    </cfRule>
  </conditionalFormatting>
  <conditionalFormatting sqref="L37">
    <cfRule type="expression" dxfId="117" priority="2">
      <formula>L37&lt;(MAX($K37:K37))</formula>
    </cfRule>
  </conditionalFormatting>
  <conditionalFormatting sqref="I15 J19 K23 L27">
    <cfRule type="expression" dxfId="11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0" zoomScale="85" zoomScaleNormal="85" zoomScaleSheetLayoutView="62" zoomScalePageLayoutView="75" workbookViewId="0">
      <selection activeCell="I19" sqref="I19"/>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Criminal Traffic</v>
      </c>
      <c r="E8" s="10"/>
      <c r="F8" s="120" t="s">
        <v>142</v>
      </c>
      <c r="G8" s="120"/>
      <c r="H8" s="38">
        <f ca="1">INDEX(LookupData!AA3:AA12,MATCH(D8,LookupData!Z3:Z12,0))</f>
        <v>0.4</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115388.84</v>
      </c>
      <c r="F13" s="57">
        <f ca="1">SUMIFS(LookupData!J$3:J$2682,LookupData!$A$3:$A$2682,$D$4,LookupData!$B$3:$B$2682,$D$8,LookupData!$C$3:$C$2682,$A12)</f>
        <v>192688.76</v>
      </c>
      <c r="G13" s="57">
        <f ca="1">SUMIFS(LookupData!K$3:K$2682,LookupData!$A$3:$A$2682,$D$4,LookupData!$B$3:$B$2682,$D$8,LookupData!$C$3:$C$2682,$A12)</f>
        <v>255911.61</v>
      </c>
      <c r="H13" s="57">
        <f ca="1">SUMIFS(LookupData!L$3:L$2682,LookupData!$A$3:$A$2682,$D$4,LookupData!$B$3:$B$2682,$D$8,LookupData!$C$3:$C$2682,$A12)</f>
        <v>291095.83</v>
      </c>
      <c r="I13" s="47">
        <v>324281.14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582436.65</v>
      </c>
      <c r="F14" s="59">
        <f ca="1">SUMIFS(LookupData!E$3:E$2682,LookupData!$A$3:$A$2682,$D$4,LookupData!$B$3:$B$2682,$D$8,LookupData!$C$3:$C$2682,$A12)</f>
        <v>578010.65</v>
      </c>
      <c r="G14" s="59">
        <f ca="1">SUMIFS(LookupData!F$3:F$2682,LookupData!$A$3:$A$2682,$D$4,LookupData!$B$3:$B$2682,$D$8,LookupData!$C$3:$C$2682,$A12)</f>
        <v>574822.65</v>
      </c>
      <c r="H14" s="59">
        <f ca="1">SUMIFS(LookupData!G$3:G$2682,LookupData!$A$3:$A$2682,$D$4,LookupData!$B$3:$B$2682,$D$8,LookupData!$C$3:$C$2682,$A12)</f>
        <v>572157.65</v>
      </c>
      <c r="I14" s="48">
        <v>572154.15</v>
      </c>
      <c r="J14" s="127"/>
      <c r="K14" s="127"/>
      <c r="L14" s="127"/>
      <c r="M14" s="116"/>
      <c r="N14" s="118"/>
    </row>
    <row r="15" spans="1:14" ht="19.5" customHeight="1" thickTop="1" thickBot="1" x14ac:dyDescent="0.25">
      <c r="A15" s="111"/>
      <c r="B15" s="112"/>
      <c r="C15" s="124" t="s">
        <v>157</v>
      </c>
      <c r="D15" s="125"/>
      <c r="E15" s="75">
        <f ca="1">IFERROR(IF(E14=0,1,ROUND(E13/E14,4)),0)</f>
        <v>0.1981</v>
      </c>
      <c r="F15" s="81">
        <f t="shared" ref="F15:I15" ca="1" si="0">IFERROR(IF(F14=0,1,ROUND(F13/F14,4)),0)</f>
        <v>0.33339999999999997</v>
      </c>
      <c r="G15" s="81">
        <f t="shared" ca="1" si="0"/>
        <v>0.44519999999999998</v>
      </c>
      <c r="H15" s="81">
        <f t="shared" ca="1" si="0"/>
        <v>0.50880000000000003</v>
      </c>
      <c r="I15" s="82">
        <f t="shared" si="0"/>
        <v>0.56679999999999997</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157326.35</v>
      </c>
      <c r="G17" s="57">
        <f ca="1">SUMIFS(LookupData!J$3:J$2682,LookupData!$A$3:$A$2682,$D$4,LookupData!$B$3:$B$2682,$D$8,LookupData!$C$3:$C$2682,$A16)</f>
        <v>233951.06</v>
      </c>
      <c r="H17" s="57">
        <f ca="1">SUMIFS(LookupData!K$3:K$2682,LookupData!$A$3:$A$2682,$D$4,LookupData!$B$3:$B$2682,$D$8,LookupData!$C$3:$C$2682,$A16)</f>
        <v>285584.81</v>
      </c>
      <c r="I17" s="32">
        <v>322850.49</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661495.55000000005</v>
      </c>
      <c r="G18" s="59">
        <f ca="1">SUMIFS(LookupData!E$3:E$2682,LookupData!$A$3:$A$2682,$D$4,LookupData!$B$3:$B$2682,$D$8,LookupData!$C$3:$C$2682,$A16)</f>
        <v>653070.55000000005</v>
      </c>
      <c r="H18" s="59">
        <f ca="1">SUMIFS(LookupData!F$3:F$2682,LookupData!$A$3:$A$2682,$D$4,LookupData!$B$3:$B$2682,$D$8,LookupData!$C$3:$C$2682,$A16)</f>
        <v>648917.55000000005</v>
      </c>
      <c r="I18" s="42">
        <v>647394.55000000005</v>
      </c>
      <c r="J18" s="48"/>
      <c r="K18" s="141"/>
      <c r="L18" s="143"/>
      <c r="M18" s="152"/>
      <c r="N18" s="153"/>
    </row>
    <row r="19" spans="1:16" ht="20.25" customHeight="1" thickTop="1" thickBot="1" x14ac:dyDescent="0.25">
      <c r="A19" s="134"/>
      <c r="B19" s="135"/>
      <c r="C19" s="136" t="s">
        <v>157</v>
      </c>
      <c r="D19" s="137"/>
      <c r="E19" s="149"/>
      <c r="F19" s="77">
        <f ca="1">IFERROR(IF(F18=0,1,ROUND(F17/F18,4)),0)</f>
        <v>0.23780000000000001</v>
      </c>
      <c r="G19" s="79">
        <f t="shared" ref="G19:J19" ca="1" si="1">IFERROR(IF(G18=0,1,ROUND(G17/G18,4)),0)</f>
        <v>0.35820000000000002</v>
      </c>
      <c r="H19" s="79">
        <f t="shared" ca="1" si="1"/>
        <v>0.44009999999999999</v>
      </c>
      <c r="I19" s="79">
        <f t="shared" si="1"/>
        <v>0.49869999999999998</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142628.46</v>
      </c>
      <c r="H21" s="57">
        <f ca="1">SUMIFS(LookupData!J$3:J$2682,LookupData!$A$3:$A$2682,$D$4,LookupData!$B$3:$B$2682,$D$8,LookupData!$C$3:$C$2682,$A20)</f>
        <v>211869.65</v>
      </c>
      <c r="I21" s="32">
        <v>284424.2</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708400.85</v>
      </c>
      <c r="H22" s="59">
        <f ca="1">SUMIFS(LookupData!E$3:E$2682,LookupData!$A$3:$A$2682,$D$4,LookupData!$B$3:$B$2682,$D$8,LookupData!$C$3:$C$2682,$A20)</f>
        <v>700378.85</v>
      </c>
      <c r="I22" s="42">
        <v>695735.35</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0.20130000000000001</v>
      </c>
      <c r="H23" s="81">
        <f t="shared" ca="1" si="2"/>
        <v>0.30249999999999999</v>
      </c>
      <c r="I23" s="81">
        <f t="shared" si="2"/>
        <v>0.4088</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111429.81</v>
      </c>
      <c r="I25" s="32">
        <v>183248.5</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646730.35</v>
      </c>
      <c r="I26" s="42">
        <v>640773.85</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0.17230000000000001</v>
      </c>
      <c r="I27" s="79">
        <f t="shared" si="3"/>
        <v>0.28599999999999998</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142119.42000000001</v>
      </c>
      <c r="J29" s="32"/>
      <c r="K29" s="32"/>
      <c r="L29" s="47"/>
      <c r="M29" s="150"/>
      <c r="N29" s="183"/>
      <c r="O29"/>
      <c r="P29"/>
    </row>
    <row r="30" spans="1:16" ht="20.25" customHeight="1" thickBot="1" x14ac:dyDescent="0.25">
      <c r="A30" s="109"/>
      <c r="B30" s="110"/>
      <c r="C30" s="124" t="s">
        <v>156</v>
      </c>
      <c r="D30" s="125"/>
      <c r="E30" s="141"/>
      <c r="F30" s="142"/>
      <c r="G30" s="142"/>
      <c r="H30" s="143"/>
      <c r="I30" s="41">
        <v>709701.7</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0.20030000000000001</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eT5Rv7Lspx5ev2uzQAy+lWgtod2yPYA7fijEqP2tJv6fPHQTqznVqZtvcbwx3W6hiFZtNbWkMnA/idxZIr0PlA==" saltValue="5it+VgP1SFTY/4h2XmrzrQ=="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115" priority="19">
      <formula>$I$15&lt;$H$8</formula>
    </cfRule>
  </conditionalFormatting>
  <conditionalFormatting sqref="M16:N19">
    <cfRule type="expression" dxfId="114" priority="18">
      <formula>$J$19&lt;$H$8</formula>
    </cfRule>
  </conditionalFormatting>
  <conditionalFormatting sqref="M20:N23">
    <cfRule type="expression" dxfId="113" priority="17">
      <formula>$K$23&lt;$H$8</formula>
    </cfRule>
  </conditionalFormatting>
  <conditionalFormatting sqref="M24:N27">
    <cfRule type="expression" dxfId="112" priority="16">
      <formula>$L$27&lt;$H$8</formula>
    </cfRule>
  </conditionalFormatting>
  <conditionalFormatting sqref="F14:I14">
    <cfRule type="expression" dxfId="111" priority="15">
      <formula>F14&gt;(MIN($E14:E14))</formula>
    </cfRule>
  </conditionalFormatting>
  <conditionalFormatting sqref="F13:I13">
    <cfRule type="expression" dxfId="110" priority="14">
      <formula>F13&lt;(MAX($E13:E13))</formula>
    </cfRule>
  </conditionalFormatting>
  <conditionalFormatting sqref="G17:J17">
    <cfRule type="expression" dxfId="109" priority="13">
      <formula>G17&lt;(MAX($F17:F17))</formula>
    </cfRule>
  </conditionalFormatting>
  <conditionalFormatting sqref="G18:J18">
    <cfRule type="expression" dxfId="108" priority="12">
      <formula>G18&gt;(MIN($F18:F18))</formula>
    </cfRule>
  </conditionalFormatting>
  <conditionalFormatting sqref="H22:K22">
    <cfRule type="expression" dxfId="107" priority="11">
      <formula>H22&gt;(MIN($G22:G22))</formula>
    </cfRule>
  </conditionalFormatting>
  <conditionalFormatting sqref="H21:K21">
    <cfRule type="expression" dxfId="106" priority="10">
      <formula>H21&lt;(MAX($G21:G21))</formula>
    </cfRule>
  </conditionalFormatting>
  <conditionalFormatting sqref="I26:L26">
    <cfRule type="expression" dxfId="105" priority="9">
      <formula>I26&gt;(MIN($H26:H26))</formula>
    </cfRule>
  </conditionalFormatting>
  <conditionalFormatting sqref="I25:L25">
    <cfRule type="expression" dxfId="104" priority="8">
      <formula>I25&lt;(MAX($H25:H25))</formula>
    </cfRule>
  </conditionalFormatting>
  <conditionalFormatting sqref="J30:L30">
    <cfRule type="expression" dxfId="103" priority="7">
      <formula>J30&gt;(MIN($I30:I30))</formula>
    </cfRule>
  </conditionalFormatting>
  <conditionalFormatting sqref="J29:L29">
    <cfRule type="expression" dxfId="102" priority="6">
      <formula>J29&lt;(MAX($I29:I29))</formula>
    </cfRule>
  </conditionalFormatting>
  <conditionalFormatting sqref="K34:L34">
    <cfRule type="expression" dxfId="101" priority="5">
      <formula>K34&gt;(MIN($J34:J34))</formula>
    </cfRule>
  </conditionalFormatting>
  <conditionalFormatting sqref="K33:L33">
    <cfRule type="expression" dxfId="100" priority="4">
      <formula>K33&lt;(MAX($J33:J33))</formula>
    </cfRule>
  </conditionalFormatting>
  <conditionalFormatting sqref="L38">
    <cfRule type="expression" dxfId="99" priority="3">
      <formula>L38&gt;(MIN($G38:K38))</formula>
    </cfRule>
  </conditionalFormatting>
  <conditionalFormatting sqref="L37">
    <cfRule type="expression" dxfId="98" priority="2">
      <formula>L37&lt;(MAX($K37:K37))</formula>
    </cfRule>
  </conditionalFormatting>
  <conditionalFormatting sqref="I15 J19 K23 L27">
    <cfRule type="expression" dxfId="9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2" zoomScale="85" zoomScaleNormal="85" zoomScaleSheetLayoutView="62" zoomScalePageLayoutView="75" workbookViewId="0">
      <selection activeCell="N24" sqref="N24:N27"/>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Circuit Civil</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t="s">
        <v>161</v>
      </c>
      <c r="N12" s="117" t="s">
        <v>233</v>
      </c>
    </row>
    <row r="13" spans="1:14" ht="19.5" customHeight="1" x14ac:dyDescent="0.2">
      <c r="A13" s="109"/>
      <c r="B13" s="110"/>
      <c r="C13" s="124" t="s">
        <v>155</v>
      </c>
      <c r="D13" s="125"/>
      <c r="E13" s="56">
        <f ca="1">SUMIFS(LookupData!I$3:I$2682,LookupData!$A$3:$A$2682,$D$4,LookupData!$B$3:$B$2682,$D$8,LookupData!$C$3:$C$2682,$A12)</f>
        <v>684666.55</v>
      </c>
      <c r="F13" s="57">
        <f ca="1">SUMIFS(LookupData!J$3:J$2682,LookupData!$A$3:$A$2682,$D$4,LookupData!$B$3:$B$2682,$D$8,LookupData!$C$3:$C$2682,$A12)</f>
        <v>704954.87</v>
      </c>
      <c r="G13" s="57">
        <f ca="1">SUMIFS(LookupData!K$3:K$2682,LookupData!$A$3:$A$2682,$D$4,LookupData!$B$3:$B$2682,$D$8,LookupData!$C$3:$C$2682,$A12)</f>
        <v>701665.51</v>
      </c>
      <c r="H13" s="57">
        <f ca="1">SUMIFS(LookupData!L$3:L$2682,LookupData!$A$3:$A$2682,$D$4,LookupData!$B$3:$B$2682,$D$8,LookupData!$C$3:$C$2682,$A12)</f>
        <v>700463.68</v>
      </c>
      <c r="I13" s="47">
        <v>699559.74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708770.09</v>
      </c>
      <c r="F14" s="59">
        <f ca="1">SUMIFS(LookupData!E$3:E$2682,LookupData!$A$3:$A$2682,$D$4,LookupData!$B$3:$B$2682,$D$8,LookupData!$C$3:$C$2682,$A12)</f>
        <v>708740.09</v>
      </c>
      <c r="G14" s="59">
        <f ca="1">SUMIFS(LookupData!F$3:F$2682,LookupData!$A$3:$A$2682,$D$4,LookupData!$B$3:$B$2682,$D$8,LookupData!$C$3:$C$2682,$A12)</f>
        <v>706734.09</v>
      </c>
      <c r="H14" s="59">
        <f ca="1">SUMIFS(LookupData!G$3:G$2682,LookupData!$A$3:$A$2682,$D$4,LookupData!$B$3:$B$2682,$D$8,LookupData!$C$3:$C$2682,$A12)</f>
        <v>705932.09</v>
      </c>
      <c r="I14" s="48">
        <v>705026.09</v>
      </c>
      <c r="J14" s="127"/>
      <c r="K14" s="127"/>
      <c r="L14" s="127"/>
      <c r="M14" s="116"/>
      <c r="N14" s="118"/>
    </row>
    <row r="15" spans="1:14" ht="19.5" customHeight="1" thickTop="1" thickBot="1" x14ac:dyDescent="0.25">
      <c r="A15" s="111"/>
      <c r="B15" s="112"/>
      <c r="C15" s="124" t="s">
        <v>157</v>
      </c>
      <c r="D15" s="125"/>
      <c r="E15" s="75">
        <f ca="1">IFERROR(IF(E14=0,1,ROUND(E13/E14,4)),0)</f>
        <v>0.96599999999999997</v>
      </c>
      <c r="F15" s="81">
        <f t="shared" ref="F15:I15" ca="1" si="0">IFERROR(IF(F14=0,1,ROUND(F13/F14,4)),0)</f>
        <v>0.99470000000000003</v>
      </c>
      <c r="G15" s="81">
        <f t="shared" ca="1" si="0"/>
        <v>0.99280000000000002</v>
      </c>
      <c r="H15" s="81">
        <f t="shared" ca="1" si="0"/>
        <v>0.99229999999999996</v>
      </c>
      <c r="I15" s="82">
        <f t="shared" si="0"/>
        <v>0.99219999999999997</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t="s">
        <v>161</v>
      </c>
      <c r="N16" s="117" t="s">
        <v>234</v>
      </c>
    </row>
    <row r="17" spans="1:16" ht="20.25" customHeight="1" x14ac:dyDescent="0.2">
      <c r="A17" s="132"/>
      <c r="B17" s="133"/>
      <c r="C17" s="124" t="s">
        <v>155</v>
      </c>
      <c r="D17" s="125"/>
      <c r="E17" s="148"/>
      <c r="F17" s="56">
        <f ca="1">SUMIFS(LookupData!I$3:I$2682,LookupData!$A$3:$A$2682,$D$4,LookupData!$B$3:$B$2682,$D$8,LookupData!$C$3:$C$2682,$A16)</f>
        <v>694238.11</v>
      </c>
      <c r="G17" s="57">
        <f ca="1">SUMIFS(LookupData!J$3:J$2682,LookupData!$A$3:$A$2682,$D$4,LookupData!$B$3:$B$2682,$D$8,LookupData!$C$3:$C$2682,$A16)</f>
        <v>732207.13</v>
      </c>
      <c r="H17" s="57">
        <f ca="1">SUMIFS(LookupData!K$3:K$2682,LookupData!$A$3:$A$2682,$D$4,LookupData!$B$3:$B$2682,$D$8,LookupData!$C$3:$C$2682,$A16)</f>
        <v>731009.51</v>
      </c>
      <c r="I17" s="32">
        <v>730617.52</v>
      </c>
      <c r="J17" s="47"/>
      <c r="K17" s="141"/>
      <c r="L17" s="143"/>
      <c r="M17" s="152"/>
      <c r="N17" s="118"/>
    </row>
    <row r="18" spans="1:16" ht="20.25" customHeight="1" thickBot="1" x14ac:dyDescent="0.25">
      <c r="A18" s="132"/>
      <c r="B18" s="133"/>
      <c r="C18" s="124" t="s">
        <v>156</v>
      </c>
      <c r="D18" s="125"/>
      <c r="E18" s="148"/>
      <c r="F18" s="58">
        <f ca="1">SUMIFS(LookupData!D$3:D$2682,LookupData!$A$3:$A$2682,$D$4,LookupData!$B$3:$B$2682,$D$8,LookupData!$C$3:$C$2682,$A16)</f>
        <v>737282.73</v>
      </c>
      <c r="G18" s="59">
        <f ca="1">SUMIFS(LookupData!E$3:E$2682,LookupData!$A$3:$A$2682,$D$4,LookupData!$B$3:$B$2682,$D$8,LookupData!$C$3:$C$2682,$A16)</f>
        <v>736881.73</v>
      </c>
      <c r="H18" s="59">
        <f ca="1">SUMIFS(LookupData!F$3:F$2682,LookupData!$A$3:$A$2682,$D$4,LookupData!$B$3:$B$2682,$D$8,LookupData!$C$3:$C$2682,$A16)</f>
        <v>735574.73</v>
      </c>
      <c r="I18" s="42">
        <v>735173.73</v>
      </c>
      <c r="J18" s="48"/>
      <c r="K18" s="141"/>
      <c r="L18" s="143"/>
      <c r="M18" s="152"/>
      <c r="N18" s="118"/>
    </row>
    <row r="19" spans="1:16" ht="20.25" customHeight="1" thickTop="1" thickBot="1" x14ac:dyDescent="0.25">
      <c r="A19" s="134"/>
      <c r="B19" s="135"/>
      <c r="C19" s="136" t="s">
        <v>157</v>
      </c>
      <c r="D19" s="137"/>
      <c r="E19" s="149"/>
      <c r="F19" s="77">
        <f ca="1">IFERROR(IF(F18=0,1,ROUND(F17/F18,4)),0)</f>
        <v>0.94159999999999999</v>
      </c>
      <c r="G19" s="79">
        <f t="shared" ref="G19:J19" ca="1" si="1">IFERROR(IF(G18=0,1,ROUND(G17/G18,4)),0)</f>
        <v>0.99370000000000003</v>
      </c>
      <c r="H19" s="79">
        <f t="shared" ca="1" si="1"/>
        <v>0.99380000000000002</v>
      </c>
      <c r="I19" s="79">
        <f t="shared" si="1"/>
        <v>0.99380000000000002</v>
      </c>
      <c r="J19" s="80">
        <f t="shared" si="1"/>
        <v>1</v>
      </c>
      <c r="K19" s="144"/>
      <c r="L19" s="146"/>
      <c r="M19" s="152"/>
      <c r="N19" s="118"/>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t="s">
        <v>161</v>
      </c>
      <c r="N20" s="117" t="s">
        <v>234</v>
      </c>
    </row>
    <row r="21" spans="1:16" ht="20.25" customHeight="1" x14ac:dyDescent="0.2">
      <c r="A21" s="109"/>
      <c r="B21" s="110"/>
      <c r="C21" s="124" t="s">
        <v>155</v>
      </c>
      <c r="D21" s="125"/>
      <c r="E21" s="150"/>
      <c r="F21" s="151"/>
      <c r="G21" s="56">
        <f ca="1">SUMIFS(LookupData!I$3:I$2682,LookupData!$A$3:$A$2682,$D$4,LookupData!$B$3:$B$2682,$D$8,LookupData!$C$3:$C$2682,$A20)</f>
        <v>674818.7</v>
      </c>
      <c r="H21" s="57">
        <f ca="1">SUMIFS(LookupData!J$3:J$2682,LookupData!$A$3:$A$2682,$D$4,LookupData!$B$3:$B$2682,$D$8,LookupData!$C$3:$C$2682,$A20)</f>
        <v>715308.79</v>
      </c>
      <c r="I21" s="32">
        <v>714559.42</v>
      </c>
      <c r="J21" s="32"/>
      <c r="K21" s="47"/>
      <c r="L21" s="141"/>
      <c r="M21" s="152"/>
      <c r="N21" s="118"/>
    </row>
    <row r="22" spans="1:16" ht="20.25" customHeight="1" thickBot="1" x14ac:dyDescent="0.25">
      <c r="A22" s="109"/>
      <c r="B22" s="110"/>
      <c r="C22" s="124" t="s">
        <v>156</v>
      </c>
      <c r="D22" s="125"/>
      <c r="E22" s="150"/>
      <c r="F22" s="151"/>
      <c r="G22" s="58">
        <f ca="1">SUMIFS(LookupData!D$3:D$2682,LookupData!$A$3:$A$2682,$D$4,LookupData!$B$3:$B$2682,$D$8,LookupData!$C$3:$C$2682,$A20)</f>
        <v>732643.06</v>
      </c>
      <c r="H22" s="59">
        <f ca="1">SUMIFS(LookupData!E$3:E$2682,LookupData!$A$3:$A$2682,$D$4,LookupData!$B$3:$B$2682,$D$8,LookupData!$C$3:$C$2682,$A20)</f>
        <v>731336.06</v>
      </c>
      <c r="I22" s="42">
        <v>728722.06</v>
      </c>
      <c r="J22" s="42"/>
      <c r="K22" s="48"/>
      <c r="L22" s="141"/>
      <c r="M22" s="152"/>
      <c r="N22" s="118"/>
    </row>
    <row r="23" spans="1:16" ht="20.25" customHeight="1" thickTop="1" thickBot="1" x14ac:dyDescent="0.25">
      <c r="A23" s="111"/>
      <c r="B23" s="112"/>
      <c r="C23" s="124" t="s">
        <v>157</v>
      </c>
      <c r="D23" s="125"/>
      <c r="E23" s="150"/>
      <c r="F23" s="151"/>
      <c r="G23" s="75">
        <f t="shared" ref="G23:K23" ca="1" si="2">IFERROR(IF(G22=0,1,ROUND(G21/G22,4)),0)</f>
        <v>0.92110000000000003</v>
      </c>
      <c r="H23" s="81">
        <f t="shared" ca="1" si="2"/>
        <v>0.97809999999999997</v>
      </c>
      <c r="I23" s="81">
        <f t="shared" si="2"/>
        <v>0.98060000000000003</v>
      </c>
      <c r="J23" s="81">
        <f t="shared" si="2"/>
        <v>1</v>
      </c>
      <c r="K23" s="82">
        <f t="shared" si="2"/>
        <v>1</v>
      </c>
      <c r="L23" s="141"/>
      <c r="M23" s="152"/>
      <c r="N23" s="118"/>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576765.97</v>
      </c>
      <c r="I25" s="32">
        <v>602461.18999999994</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609476.69999999995</v>
      </c>
      <c r="I26" s="42">
        <v>609339.69999999995</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0.94630000000000003</v>
      </c>
      <c r="I27" s="79">
        <f t="shared" si="3"/>
        <v>0.98870000000000002</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365931.24</v>
      </c>
      <c r="J29" s="32"/>
      <c r="K29" s="32"/>
      <c r="L29" s="47"/>
      <c r="M29" s="150"/>
      <c r="N29" s="183"/>
      <c r="O29"/>
      <c r="P29"/>
    </row>
    <row r="30" spans="1:16" ht="20.25" customHeight="1" thickBot="1" x14ac:dyDescent="0.25">
      <c r="A30" s="109"/>
      <c r="B30" s="110"/>
      <c r="C30" s="124" t="s">
        <v>156</v>
      </c>
      <c r="D30" s="125"/>
      <c r="E30" s="141"/>
      <c r="F30" s="142"/>
      <c r="G30" s="142"/>
      <c r="H30" s="143"/>
      <c r="I30" s="41">
        <v>411850.29</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0.88849999999999996</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GvTFs4vFlwas42+77lwGiTavarJhtiQvAzP8XBDRh+OJUNqCdCy96fIJVOH2zXtmyawL9W4ILb75o349AkxefQ==" saltValue="OPf3gy9TriSzuM9YD6o8NQ=="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96" priority="22">
      <formula>$I$15&lt;$H$8</formula>
    </cfRule>
  </conditionalFormatting>
  <conditionalFormatting sqref="M16:M19">
    <cfRule type="expression" dxfId="95" priority="21">
      <formula>$J$19&lt;$H$8</formula>
    </cfRule>
  </conditionalFormatting>
  <conditionalFormatting sqref="M20:M23">
    <cfRule type="expression" dxfId="94" priority="20">
      <formula>$K$23&lt;$H$8</formula>
    </cfRule>
  </conditionalFormatting>
  <conditionalFormatting sqref="M24:N27">
    <cfRule type="expression" dxfId="93" priority="19">
      <formula>$L$27&lt;$H$8</formula>
    </cfRule>
  </conditionalFormatting>
  <conditionalFormatting sqref="F14:I14">
    <cfRule type="expression" dxfId="92" priority="18">
      <formula>F14&gt;(MIN($E14:E14))</formula>
    </cfRule>
  </conditionalFormatting>
  <conditionalFormatting sqref="F13:I13">
    <cfRule type="expression" dxfId="91" priority="17">
      <formula>F13&lt;(MAX($E13:E13))</formula>
    </cfRule>
  </conditionalFormatting>
  <conditionalFormatting sqref="G17:J17">
    <cfRule type="expression" dxfId="90" priority="16">
      <formula>G17&lt;(MAX($F17:F17))</formula>
    </cfRule>
  </conditionalFormatting>
  <conditionalFormatting sqref="G18:J18">
    <cfRule type="expression" dxfId="89" priority="15">
      <formula>G18&gt;(MIN($F18:F18))</formula>
    </cfRule>
  </conditionalFormatting>
  <conditionalFormatting sqref="H22:K22">
    <cfRule type="expression" dxfId="88" priority="14">
      <formula>H22&gt;(MIN($G22:G22))</formula>
    </cfRule>
  </conditionalFormatting>
  <conditionalFormatting sqref="H21:K21">
    <cfRule type="expression" dxfId="87" priority="13">
      <formula>H21&lt;(MAX($G21:G21))</formula>
    </cfRule>
  </conditionalFormatting>
  <conditionalFormatting sqref="I26:L26">
    <cfRule type="expression" dxfId="86" priority="12">
      <formula>I26&gt;(MIN($H26:H26))</formula>
    </cfRule>
  </conditionalFormatting>
  <conditionalFormatting sqref="I25:L25">
    <cfRule type="expression" dxfId="85" priority="11">
      <formula>I25&lt;(MAX($H25:H25))</formula>
    </cfRule>
  </conditionalFormatting>
  <conditionalFormatting sqref="J30:L30">
    <cfRule type="expression" dxfId="84" priority="10">
      <formula>J30&gt;(MIN($I30:I30))</formula>
    </cfRule>
  </conditionalFormatting>
  <conditionalFormatting sqref="J29:L29">
    <cfRule type="expression" dxfId="83" priority="9">
      <formula>J29&lt;(MAX($I29:I29))</formula>
    </cfRule>
  </conditionalFormatting>
  <conditionalFormatting sqref="K34:L34">
    <cfRule type="expression" dxfId="82" priority="8">
      <formula>K34&gt;(MIN($J34:J34))</formula>
    </cfRule>
  </conditionalFormatting>
  <conditionalFormatting sqref="K33:L33">
    <cfRule type="expression" dxfId="81" priority="7">
      <formula>K33&lt;(MAX($J33:J33))</formula>
    </cfRule>
  </conditionalFormatting>
  <conditionalFormatting sqref="L38">
    <cfRule type="expression" dxfId="80" priority="6">
      <formula>L38&gt;(MIN($G38:K38))</formula>
    </cfRule>
  </conditionalFormatting>
  <conditionalFormatting sqref="L37">
    <cfRule type="expression" dxfId="79" priority="5">
      <formula>L37&lt;(MAX($K37:K37))</formula>
    </cfRule>
  </conditionalFormatting>
  <conditionalFormatting sqref="I15 J19 K23 L27">
    <cfRule type="expression" dxfId="78" priority="4">
      <formula>I15&lt;$H$8</formula>
    </cfRule>
  </conditionalFormatting>
  <conditionalFormatting sqref="N16:N19">
    <cfRule type="expression" dxfId="77" priority="3">
      <formula>$I$15&lt;$H$8</formula>
    </cfRule>
  </conditionalFormatting>
  <conditionalFormatting sqref="N20:N23">
    <cfRule type="expression" dxfId="7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8" zoomScale="85" zoomScaleNormal="85" zoomScaleSheetLayoutView="62" zoomScalePageLayoutView="75" workbookViewId="0">
      <selection activeCell="I31" sqref="I31"/>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County Civil</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475406.14</v>
      </c>
      <c r="F13" s="57">
        <f ca="1">SUMIFS(LookupData!J$3:J$2682,LookupData!$A$3:$A$2682,$D$4,LookupData!$B$3:$B$2682,$D$8,LookupData!$C$3:$C$2682,$A12)</f>
        <v>484694.14</v>
      </c>
      <c r="G13" s="57">
        <f ca="1">SUMIFS(LookupData!K$3:K$2682,LookupData!$A$3:$A$2682,$D$4,LookupData!$B$3:$B$2682,$D$8,LookupData!$C$3:$C$2682,$A12)</f>
        <v>484694.14</v>
      </c>
      <c r="H13" s="57">
        <f ca="1">SUMIFS(LookupData!L$3:L$2682,LookupData!$A$3:$A$2682,$D$4,LookupData!$B$3:$B$2682,$D$8,LookupData!$C$3:$C$2682,$A12)</f>
        <v>485114.14</v>
      </c>
      <c r="I13" s="47">
        <v>485114.14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487920.14</v>
      </c>
      <c r="F14" s="59">
        <f ca="1">SUMIFS(LookupData!E$3:E$2682,LookupData!$A$3:$A$2682,$D$4,LookupData!$B$3:$B$2682,$D$8,LookupData!$C$3:$C$2682,$A12)</f>
        <v>487910.14</v>
      </c>
      <c r="G14" s="59">
        <f ca="1">SUMIFS(LookupData!F$3:F$2682,LookupData!$A$3:$A$2682,$D$4,LookupData!$B$3:$B$2682,$D$8,LookupData!$C$3:$C$2682,$A12)</f>
        <v>487910.14</v>
      </c>
      <c r="H14" s="59">
        <f ca="1">SUMIFS(LookupData!G$3:G$2682,LookupData!$A$3:$A$2682,$D$4,LookupData!$B$3:$B$2682,$D$8,LookupData!$C$3:$C$2682,$A12)</f>
        <v>487910.14</v>
      </c>
      <c r="I14" s="48">
        <v>487910.14</v>
      </c>
      <c r="J14" s="127"/>
      <c r="K14" s="127"/>
      <c r="L14" s="127"/>
      <c r="M14" s="116"/>
      <c r="N14" s="118"/>
    </row>
    <row r="15" spans="1:14" ht="19.5" customHeight="1" thickTop="1" thickBot="1" x14ac:dyDescent="0.25">
      <c r="A15" s="111"/>
      <c r="B15" s="112"/>
      <c r="C15" s="124" t="s">
        <v>157</v>
      </c>
      <c r="D15" s="125"/>
      <c r="E15" s="75">
        <f ca="1">IFERROR(IF(E14=0,1,ROUND(E13/E14,4)),0)</f>
        <v>0.97440000000000004</v>
      </c>
      <c r="F15" s="81">
        <f t="shared" ref="F15:I15" ca="1" si="0">IFERROR(IF(F14=0,1,ROUND(F13/F14,4)),0)</f>
        <v>0.99339999999999995</v>
      </c>
      <c r="G15" s="81">
        <f t="shared" ca="1" si="0"/>
        <v>0.99339999999999995</v>
      </c>
      <c r="H15" s="81">
        <f t="shared" ca="1" si="0"/>
        <v>0.99429999999999996</v>
      </c>
      <c r="I15" s="82">
        <f t="shared" si="0"/>
        <v>0.99429999999999996</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555771.34</v>
      </c>
      <c r="G17" s="57">
        <f ca="1">SUMIFS(LookupData!J$3:J$2682,LookupData!$A$3:$A$2682,$D$4,LookupData!$B$3:$B$2682,$D$8,LookupData!$C$3:$C$2682,$A16)</f>
        <v>578716.98</v>
      </c>
      <c r="H17" s="57">
        <f ca="1">SUMIFS(LookupData!K$3:K$2682,LookupData!$A$3:$A$2682,$D$4,LookupData!$B$3:$B$2682,$D$8,LookupData!$C$3:$C$2682,$A16)</f>
        <v>578783.93999999994</v>
      </c>
      <c r="I17" s="32">
        <v>578783.93999999994</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581496.12</v>
      </c>
      <c r="G18" s="59">
        <f ca="1">SUMIFS(LookupData!E$3:E$2682,LookupData!$A$3:$A$2682,$D$4,LookupData!$B$3:$B$2682,$D$8,LookupData!$C$3:$C$2682,$A16)</f>
        <v>581391.12</v>
      </c>
      <c r="H18" s="59">
        <f ca="1">SUMIFS(LookupData!F$3:F$2682,LookupData!$A$3:$A$2682,$D$4,LookupData!$B$3:$B$2682,$D$8,LookupData!$C$3:$C$2682,$A16)</f>
        <v>581391.12</v>
      </c>
      <c r="I18" s="42">
        <v>581371.12</v>
      </c>
      <c r="J18" s="48"/>
      <c r="K18" s="141"/>
      <c r="L18" s="143"/>
      <c r="M18" s="152"/>
      <c r="N18" s="153"/>
    </row>
    <row r="19" spans="1:16" ht="20.25" customHeight="1" thickTop="1" thickBot="1" x14ac:dyDescent="0.25">
      <c r="A19" s="134"/>
      <c r="B19" s="135"/>
      <c r="C19" s="136" t="s">
        <v>157</v>
      </c>
      <c r="D19" s="137"/>
      <c r="E19" s="149"/>
      <c r="F19" s="77">
        <f ca="1">IFERROR(IF(F18=0,1,ROUND(F17/F18,4)),0)</f>
        <v>0.95579999999999998</v>
      </c>
      <c r="G19" s="79">
        <f t="shared" ref="G19:J19" ca="1" si="1">IFERROR(IF(G18=0,1,ROUND(G17/G18,4)),0)</f>
        <v>0.99539999999999995</v>
      </c>
      <c r="H19" s="79">
        <f t="shared" ca="1" si="1"/>
        <v>0.99550000000000005</v>
      </c>
      <c r="I19" s="79">
        <f t="shared" si="1"/>
        <v>0.99550000000000005</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533395.72</v>
      </c>
      <c r="H21" s="57">
        <f ca="1">SUMIFS(LookupData!J$3:J$2682,LookupData!$A$3:$A$2682,$D$4,LookupData!$B$3:$B$2682,$D$8,LookupData!$C$3:$C$2682,$A20)</f>
        <v>550130.72</v>
      </c>
      <c r="I21" s="32">
        <v>550140.72</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552598.56000000006</v>
      </c>
      <c r="H22" s="59">
        <f ca="1">SUMIFS(LookupData!E$3:E$2682,LookupData!$A$3:$A$2682,$D$4,LookupData!$B$3:$B$2682,$D$8,LookupData!$C$3:$C$2682,$A20)</f>
        <v>552598.56000000006</v>
      </c>
      <c r="I22" s="42">
        <v>552598.56000000006</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0.96519999999999995</v>
      </c>
      <c r="H23" s="81">
        <f t="shared" ca="1" si="2"/>
        <v>0.99550000000000005</v>
      </c>
      <c r="I23" s="81">
        <f t="shared" si="2"/>
        <v>0.99560000000000004</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491596.14</v>
      </c>
      <c r="I25" s="32">
        <v>504511.14</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507059.64</v>
      </c>
      <c r="I26" s="42">
        <v>507059.64</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0.96950000000000003</v>
      </c>
      <c r="I27" s="79">
        <f t="shared" si="3"/>
        <v>0.995</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526477.47</v>
      </c>
      <c r="J29" s="32"/>
      <c r="K29" s="32"/>
      <c r="L29" s="47"/>
      <c r="M29" s="150"/>
      <c r="N29" s="183"/>
      <c r="O29"/>
      <c r="P29"/>
    </row>
    <row r="30" spans="1:16" ht="20.25" customHeight="1" thickBot="1" x14ac:dyDescent="0.25">
      <c r="A30" s="109"/>
      <c r="B30" s="110"/>
      <c r="C30" s="124" t="s">
        <v>156</v>
      </c>
      <c r="D30" s="125"/>
      <c r="E30" s="141"/>
      <c r="F30" s="142"/>
      <c r="G30" s="142"/>
      <c r="H30" s="143"/>
      <c r="I30" s="41">
        <v>566163.69999999995</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0.92989999999999995</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HiT3ySYXXZJzirCyrl8W0Ud/juscCBxiQnM+4aPmjSXPaOMCJG+plMK6L8Igpcj13U//9+vEY5ta25H57Vz7ZQ==" saltValue="Axp4pBXP+vaft0OD986KcQ=="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75" priority="19">
      <formula>$I$15&lt;$H$8</formula>
    </cfRule>
  </conditionalFormatting>
  <conditionalFormatting sqref="M16:N19">
    <cfRule type="expression" dxfId="74" priority="18">
      <formula>$J$19&lt;$H$8</formula>
    </cfRule>
  </conditionalFormatting>
  <conditionalFormatting sqref="M20:N23">
    <cfRule type="expression" dxfId="73" priority="17">
      <formula>$K$23&lt;$H$8</formula>
    </cfRule>
  </conditionalFormatting>
  <conditionalFormatting sqref="M24:N27">
    <cfRule type="expression" dxfId="72" priority="16">
      <formula>$L$27&lt;$H$8</formula>
    </cfRule>
  </conditionalFormatting>
  <conditionalFormatting sqref="F14:I14">
    <cfRule type="expression" dxfId="71" priority="15">
      <formula>F14&gt;(MIN($E14:E14))</formula>
    </cfRule>
  </conditionalFormatting>
  <conditionalFormatting sqref="F13:I13">
    <cfRule type="expression" dxfId="70" priority="14">
      <formula>F13&lt;(MAX($E13:E13))</formula>
    </cfRule>
  </conditionalFormatting>
  <conditionalFormatting sqref="G17:J17">
    <cfRule type="expression" dxfId="69" priority="13">
      <formula>G17&lt;(MAX($F17:F17))</formula>
    </cfRule>
  </conditionalFormatting>
  <conditionalFormatting sqref="G18:J18">
    <cfRule type="expression" dxfId="68" priority="12">
      <formula>G18&gt;(MIN($F18:F18))</formula>
    </cfRule>
  </conditionalFormatting>
  <conditionalFormatting sqref="H22:K22">
    <cfRule type="expression" dxfId="67" priority="11">
      <formula>H22&gt;(MIN($G22:G22))</formula>
    </cfRule>
  </conditionalFormatting>
  <conditionalFormatting sqref="H21:K21">
    <cfRule type="expression" dxfId="66" priority="10">
      <formula>H21&lt;(MAX($G21:G21))</formula>
    </cfRule>
  </conditionalFormatting>
  <conditionalFormatting sqref="I26:L26">
    <cfRule type="expression" dxfId="65" priority="9">
      <formula>I26&gt;(MIN($H26:H26))</formula>
    </cfRule>
  </conditionalFormatting>
  <conditionalFormatting sqref="I25:L25">
    <cfRule type="expression" dxfId="64" priority="8">
      <formula>I25&lt;(MAX($H25:H25))</formula>
    </cfRule>
  </conditionalFormatting>
  <conditionalFormatting sqref="J30:L30">
    <cfRule type="expression" dxfId="63" priority="7">
      <formula>J30&gt;(MIN($I30:I30))</formula>
    </cfRule>
  </conditionalFormatting>
  <conditionalFormatting sqref="J29:L29">
    <cfRule type="expression" dxfId="62" priority="6">
      <formula>J29&lt;(MAX($I29:I29))</formula>
    </cfRule>
  </conditionalFormatting>
  <conditionalFormatting sqref="K34:L34">
    <cfRule type="expression" dxfId="61" priority="5">
      <formula>K34&gt;(MIN($J34:J34))</formula>
    </cfRule>
  </conditionalFormatting>
  <conditionalFormatting sqref="K33:L33">
    <cfRule type="expression" dxfId="60" priority="4">
      <formula>K33&lt;(MAX($J33:J33))</formula>
    </cfRule>
  </conditionalFormatting>
  <conditionalFormatting sqref="L38">
    <cfRule type="expression" dxfId="59" priority="3">
      <formula>L38&gt;(MIN($G38:K38))</formula>
    </cfRule>
  </conditionalFormatting>
  <conditionalFormatting sqref="L37">
    <cfRule type="expression" dxfId="58" priority="2">
      <formula>L37&lt;(MAX($K37:K37))</formula>
    </cfRule>
  </conditionalFormatting>
  <conditionalFormatting sqref="I15 J19 K23 L27">
    <cfRule type="expression" dxfId="5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5" zoomScale="85" zoomScaleNormal="85" zoomScaleSheetLayoutView="62" zoomScalePageLayoutView="75" workbookViewId="0">
      <selection activeCell="I31" sqref="I31"/>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Probate</v>
      </c>
      <c r="E8" s="10"/>
      <c r="F8" s="120" t="s">
        <v>142</v>
      </c>
      <c r="G8" s="120"/>
      <c r="H8" s="38">
        <f ca="1">INDEX(LookupData!AA3:AA12,MATCH(D8,LookupData!Z3:Z12,0))</f>
        <v>0.9</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202151.4</v>
      </c>
      <c r="F13" s="57">
        <f ca="1">SUMIFS(LookupData!J$3:J$2682,LookupData!$A$3:$A$2682,$D$4,LookupData!$B$3:$B$2682,$D$8,LookupData!$C$3:$C$2682,$A12)</f>
        <v>204268.4</v>
      </c>
      <c r="G13" s="57">
        <f ca="1">SUMIFS(LookupData!K$3:K$2682,LookupData!$A$3:$A$2682,$D$4,LookupData!$B$3:$B$2682,$D$8,LookupData!$C$3:$C$2682,$A12)</f>
        <v>204613.4</v>
      </c>
      <c r="H13" s="57">
        <f ca="1">SUMIFS(LookupData!L$3:L$2682,LookupData!$A$3:$A$2682,$D$4,LookupData!$B$3:$B$2682,$D$8,LookupData!$C$3:$C$2682,$A12)</f>
        <v>204613.4</v>
      </c>
      <c r="I13" s="47">
        <v>204613.4</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205306.4</v>
      </c>
      <c r="F14" s="59">
        <f ca="1">SUMIFS(LookupData!E$3:E$2682,LookupData!$A$3:$A$2682,$D$4,LookupData!$B$3:$B$2682,$D$8,LookupData!$C$3:$C$2682,$A12)</f>
        <v>205306.4</v>
      </c>
      <c r="G14" s="59">
        <f ca="1">SUMIFS(LookupData!F$3:F$2682,LookupData!$A$3:$A$2682,$D$4,LookupData!$B$3:$B$2682,$D$8,LookupData!$C$3:$C$2682,$A12)</f>
        <v>205306.4</v>
      </c>
      <c r="H14" s="59">
        <f ca="1">SUMIFS(LookupData!G$3:G$2682,LookupData!$A$3:$A$2682,$D$4,LookupData!$B$3:$B$2682,$D$8,LookupData!$C$3:$C$2682,$A12)</f>
        <v>205306.4</v>
      </c>
      <c r="I14" s="48">
        <v>205306.4</v>
      </c>
      <c r="J14" s="127"/>
      <c r="K14" s="127"/>
      <c r="L14" s="127"/>
      <c r="M14" s="116"/>
      <c r="N14" s="118"/>
    </row>
    <row r="15" spans="1:14" ht="19.5" customHeight="1" thickTop="1" thickBot="1" x14ac:dyDescent="0.25">
      <c r="A15" s="111"/>
      <c r="B15" s="112"/>
      <c r="C15" s="124" t="s">
        <v>157</v>
      </c>
      <c r="D15" s="125"/>
      <c r="E15" s="75">
        <f ca="1">IFERROR(IF(E14=0,1,ROUND(E13/E14,4)),0)</f>
        <v>0.98460000000000003</v>
      </c>
      <c r="F15" s="81">
        <f t="shared" ref="F15:I15" ca="1" si="0">IFERROR(IF(F14=0,1,ROUND(F13/F14,4)),0)</f>
        <v>0.99490000000000001</v>
      </c>
      <c r="G15" s="81">
        <f t="shared" ca="1" si="0"/>
        <v>0.99660000000000004</v>
      </c>
      <c r="H15" s="81">
        <f t="shared" ca="1" si="0"/>
        <v>0.99660000000000004</v>
      </c>
      <c r="I15" s="82">
        <f t="shared" si="0"/>
        <v>0.99660000000000004</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227155.33</v>
      </c>
      <c r="G17" s="57">
        <f ca="1">SUMIFS(LookupData!J$3:J$2682,LookupData!$A$3:$A$2682,$D$4,LookupData!$B$3:$B$2682,$D$8,LookupData!$C$3:$C$2682,$A16)</f>
        <v>236331.8</v>
      </c>
      <c r="H17" s="57">
        <f ca="1">SUMIFS(LookupData!K$3:K$2682,LookupData!$A$3:$A$2682,$D$4,LookupData!$B$3:$B$2682,$D$8,LookupData!$C$3:$C$2682,$A16)</f>
        <v>236597.33</v>
      </c>
      <c r="I17" s="32">
        <v>236597.33</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237180.05</v>
      </c>
      <c r="G18" s="59">
        <f ca="1">SUMIFS(LookupData!E$3:E$2682,LookupData!$A$3:$A$2682,$D$4,LookupData!$B$3:$B$2682,$D$8,LookupData!$C$3:$C$2682,$A16)</f>
        <v>237180.05</v>
      </c>
      <c r="H18" s="59">
        <f ca="1">SUMIFS(LookupData!F$3:F$2682,LookupData!$A$3:$A$2682,$D$4,LookupData!$B$3:$B$2682,$D$8,LookupData!$C$3:$C$2682,$A16)</f>
        <v>237180.05</v>
      </c>
      <c r="I18" s="42">
        <v>237010.05</v>
      </c>
      <c r="J18" s="48"/>
      <c r="K18" s="141"/>
      <c r="L18" s="143"/>
      <c r="M18" s="152"/>
      <c r="N18" s="153"/>
    </row>
    <row r="19" spans="1:16" ht="20.25" customHeight="1" thickTop="1" thickBot="1" x14ac:dyDescent="0.25">
      <c r="A19" s="134"/>
      <c r="B19" s="135"/>
      <c r="C19" s="136" t="s">
        <v>157</v>
      </c>
      <c r="D19" s="137"/>
      <c r="E19" s="149"/>
      <c r="F19" s="77">
        <f ca="1">IFERROR(IF(F18=0,1,ROUND(F17/F18,4)),0)</f>
        <v>0.9577</v>
      </c>
      <c r="G19" s="79">
        <f t="shared" ref="G19:J19" ca="1" si="1">IFERROR(IF(G18=0,1,ROUND(G17/G18,4)),0)</f>
        <v>0.99639999999999995</v>
      </c>
      <c r="H19" s="79">
        <f t="shared" ca="1" si="1"/>
        <v>0.99750000000000005</v>
      </c>
      <c r="I19" s="79">
        <f t="shared" si="1"/>
        <v>0.99829999999999997</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248318.02</v>
      </c>
      <c r="H21" s="57">
        <f ca="1">SUMIFS(LookupData!J$3:J$2682,LookupData!$A$3:$A$2682,$D$4,LookupData!$B$3:$B$2682,$D$8,LookupData!$C$3:$C$2682,$A20)</f>
        <v>268041.34999999998</v>
      </c>
      <c r="I21" s="32">
        <v>268041.34999999998</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270774.3</v>
      </c>
      <c r="H22" s="59">
        <f ca="1">SUMIFS(LookupData!E$3:E$2682,LookupData!$A$3:$A$2682,$D$4,LookupData!$B$3:$B$2682,$D$8,LookupData!$C$3:$C$2682,$A20)</f>
        <v>270774.3</v>
      </c>
      <c r="I22" s="42">
        <v>270604.3</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0.91710000000000003</v>
      </c>
      <c r="H23" s="81">
        <f t="shared" ca="1" si="2"/>
        <v>0.9899</v>
      </c>
      <c r="I23" s="81">
        <f t="shared" si="2"/>
        <v>0.99050000000000005</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214111.21</v>
      </c>
      <c r="I25" s="32">
        <v>224809.21</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227048.55</v>
      </c>
      <c r="I26" s="42">
        <v>226878.55</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0.94299999999999995</v>
      </c>
      <c r="I27" s="79">
        <f t="shared" si="3"/>
        <v>0.9909</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226397.8</v>
      </c>
      <c r="J29" s="32"/>
      <c r="K29" s="32"/>
      <c r="L29" s="47"/>
      <c r="M29" s="150"/>
      <c r="N29" s="183"/>
      <c r="O29"/>
      <c r="P29"/>
    </row>
    <row r="30" spans="1:16" ht="20.25" customHeight="1" thickBot="1" x14ac:dyDescent="0.25">
      <c r="A30" s="109"/>
      <c r="B30" s="110"/>
      <c r="C30" s="124" t="s">
        <v>156</v>
      </c>
      <c r="D30" s="125"/>
      <c r="E30" s="141"/>
      <c r="F30" s="142"/>
      <c r="G30" s="142"/>
      <c r="H30" s="143"/>
      <c r="I30" s="41">
        <v>234067</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0.96719999999999995</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74PIUdlZBzXIXBqCwl+cz+F3JmnqRlbUvPY0kMeNopRw6Y8XGg93APjZqjBQMZ+FzFW0lBG1lj8RTkyvYA4jNw==" saltValue="uT9rTBOETx1n/1qfUZbm/g=="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56" priority="19">
      <formula>$I$15&lt;$H$8</formula>
    </cfRule>
  </conditionalFormatting>
  <conditionalFormatting sqref="M16:N19">
    <cfRule type="expression" dxfId="55" priority="18">
      <formula>$J$19&lt;$H$8</formula>
    </cfRule>
  </conditionalFormatting>
  <conditionalFormatting sqref="M20:N23">
    <cfRule type="expression" dxfId="54" priority="17">
      <formula>$K$23&lt;$H$8</formula>
    </cfRule>
  </conditionalFormatting>
  <conditionalFormatting sqref="M24:N27">
    <cfRule type="expression" dxfId="53" priority="16">
      <formula>$L$27&lt;$H$8</formula>
    </cfRule>
  </conditionalFormatting>
  <conditionalFormatting sqref="F14:I14">
    <cfRule type="expression" dxfId="52" priority="15">
      <formula>F14&gt;(MIN($E14:E14))</formula>
    </cfRule>
  </conditionalFormatting>
  <conditionalFormatting sqref="F13:I13">
    <cfRule type="expression" dxfId="51" priority="14">
      <formula>F13&lt;(MAX($E13:E13))</formula>
    </cfRule>
  </conditionalFormatting>
  <conditionalFormatting sqref="G17:J17">
    <cfRule type="expression" dxfId="50" priority="13">
      <formula>G17&lt;(MAX($F17:F17))</formula>
    </cfRule>
  </conditionalFormatting>
  <conditionalFormatting sqref="G18:J18">
    <cfRule type="expression" dxfId="49" priority="12">
      <formula>G18&gt;(MIN($F18:F18))</formula>
    </cfRule>
  </conditionalFormatting>
  <conditionalFormatting sqref="H22:K22">
    <cfRule type="expression" dxfId="48" priority="11">
      <formula>H22&gt;(MIN($G22:G22))</formula>
    </cfRule>
  </conditionalFormatting>
  <conditionalFormatting sqref="H21:K21">
    <cfRule type="expression" dxfId="47" priority="10">
      <formula>H21&lt;(MAX($G21:G21))</formula>
    </cfRule>
  </conditionalFormatting>
  <conditionalFormatting sqref="I26:L26">
    <cfRule type="expression" dxfId="46" priority="9">
      <formula>I26&gt;(MIN($H26:H26))</formula>
    </cfRule>
  </conditionalFormatting>
  <conditionalFormatting sqref="I25:L25">
    <cfRule type="expression" dxfId="45" priority="8">
      <formula>I25&lt;(MAX($H25:H25))</formula>
    </cfRule>
  </conditionalFormatting>
  <conditionalFormatting sqref="J30:L30">
    <cfRule type="expression" dxfId="44" priority="7">
      <formula>J30&gt;(MIN($I30:I30))</formula>
    </cfRule>
  </conditionalFormatting>
  <conditionalFormatting sqref="J29:L29">
    <cfRule type="expression" dxfId="43" priority="6">
      <formula>J29&lt;(MAX($I29:I29))</formula>
    </cfRule>
  </conditionalFormatting>
  <conditionalFormatting sqref="K34:L34">
    <cfRule type="expression" dxfId="42" priority="5">
      <formula>K34&gt;(MIN($J34:J34))</formula>
    </cfRule>
  </conditionalFormatting>
  <conditionalFormatting sqref="K33:L33">
    <cfRule type="expression" dxfId="41" priority="4">
      <formula>K33&lt;(MAX($J33:J33))</formula>
    </cfRule>
  </conditionalFormatting>
  <conditionalFormatting sqref="L38">
    <cfRule type="expression" dxfId="40" priority="3">
      <formula>L38&gt;(MIN($G38:K38))</formula>
    </cfRule>
  </conditionalFormatting>
  <conditionalFormatting sqref="L37">
    <cfRule type="expression" dxfId="39" priority="2">
      <formula>L37&lt;(MAX($K37:K37))</formula>
    </cfRule>
  </conditionalFormatting>
  <conditionalFormatting sqref="I15 J19 K23 L27">
    <cfRule type="expression" dxfId="3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28" zoomScale="85" zoomScaleNormal="85" zoomScaleSheetLayoutView="62" zoomScalePageLayoutView="75" workbookViewId="0">
      <selection activeCell="I31" sqref="I31"/>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90" t="str">
        <f>'Circuit Criminal'!D4</f>
        <v>Brevard</v>
      </c>
      <c r="E4" s="190"/>
      <c r="F4" s="9"/>
      <c r="G4" s="35" t="s">
        <v>140</v>
      </c>
      <c r="H4" s="190" t="str">
        <f>'Circuit Criminal'!H4</f>
        <v>Qtr 1: Oct - Dec</v>
      </c>
      <c r="I4" s="190"/>
      <c r="K4" s="35" t="s">
        <v>1</v>
      </c>
      <c r="L4" s="83">
        <f>'Circuit Criminal'!L4</f>
        <v>2</v>
      </c>
    </row>
    <row r="5" spans="1:14" ht="26.25" customHeight="1" thickBot="1" x14ac:dyDescent="0.25">
      <c r="A5" s="8"/>
      <c r="C5" s="35" t="s">
        <v>70</v>
      </c>
      <c r="D5" s="106" t="str">
        <f>'Circuit Criminal'!D5</f>
        <v>Michelle Levar</v>
      </c>
      <c r="E5" s="106"/>
      <c r="F5" s="9"/>
      <c r="M5" s="119" t="s">
        <v>158</v>
      </c>
      <c r="N5" s="119"/>
    </row>
    <row r="6" spans="1:14" ht="26.25" customHeight="1" x14ac:dyDescent="0.2">
      <c r="A6" s="8"/>
      <c r="C6" s="35" t="s">
        <v>71</v>
      </c>
      <c r="D6" s="105" t="str">
        <f>'Circuit Criminal'!D6</f>
        <v>michelle.levar</v>
      </c>
      <c r="E6" s="105"/>
      <c r="F6" s="9"/>
      <c r="J6" s="161" t="s">
        <v>167</v>
      </c>
      <c r="K6" s="162"/>
      <c r="L6" s="162"/>
      <c r="M6" s="162"/>
      <c r="N6" s="163"/>
    </row>
    <row r="7" spans="1:14" ht="26.25" customHeight="1" thickBot="1" x14ac:dyDescent="0.25">
      <c r="A7" s="8"/>
      <c r="J7" s="70" t="s">
        <v>163</v>
      </c>
      <c r="K7" s="164" t="s">
        <v>165</v>
      </c>
      <c r="L7" s="164"/>
      <c r="M7" s="164"/>
      <c r="N7" s="165"/>
    </row>
    <row r="8" spans="1:14" ht="26.25" customHeight="1" thickTop="1" thickBot="1" x14ac:dyDescent="0.25">
      <c r="A8" s="120" t="s">
        <v>141</v>
      </c>
      <c r="B8" s="120"/>
      <c r="C8" s="121"/>
      <c r="D8" s="31" t="str">
        <f ca="1">MID(CELL("filename",A1),FIND("]",CELL("filename",A1))+1,255)</f>
        <v>Family</v>
      </c>
      <c r="E8" s="10"/>
      <c r="F8" s="120" t="s">
        <v>142</v>
      </c>
      <c r="G8" s="120"/>
      <c r="H8" s="38">
        <f ca="1">INDEX(LookupData!AA3:AA12,MATCH(D8,LookupData!Z3:Z12,0))</f>
        <v>0.75</v>
      </c>
      <c r="J8" s="67" t="s">
        <v>164</v>
      </c>
      <c r="K8" s="166" t="s">
        <v>166</v>
      </c>
      <c r="L8" s="166"/>
      <c r="M8" s="166"/>
      <c r="N8" s="167"/>
    </row>
    <row r="9" spans="1:14" ht="19.5" customHeight="1" thickTop="1" thickBot="1" x14ac:dyDescent="0.25">
      <c r="A9" s="8"/>
      <c r="D9" s="8"/>
      <c r="E9" s="8"/>
    </row>
    <row r="10" spans="1:14" ht="25.5" customHeight="1" thickBot="1" x14ac:dyDescent="0.25">
      <c r="D10" s="1"/>
      <c r="E10" s="1"/>
      <c r="F10" s="1"/>
      <c r="G10" s="1"/>
      <c r="H10" s="1"/>
      <c r="I10" s="1"/>
      <c r="J10" s="1"/>
      <c r="K10" s="1"/>
      <c r="L10" s="1"/>
      <c r="M10" s="122" t="s">
        <v>146</v>
      </c>
      <c r="N10" s="123"/>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07" t="str">
        <f>LookupData!W3</f>
        <v>CGE CQ1-18</v>
      </c>
      <c r="B12" s="108"/>
      <c r="C12" s="113" t="str">
        <f>LookupData!X3</f>
        <v>RPE 12/31/16</v>
      </c>
      <c r="D12" s="114"/>
      <c r="E12" s="43" t="s">
        <v>150</v>
      </c>
      <c r="F12" s="44" t="s">
        <v>151</v>
      </c>
      <c r="G12" s="44" t="s">
        <v>152</v>
      </c>
      <c r="H12" s="44" t="s">
        <v>153</v>
      </c>
      <c r="I12" s="45" t="s">
        <v>154</v>
      </c>
      <c r="J12" s="126"/>
      <c r="K12" s="126"/>
      <c r="L12" s="126"/>
      <c r="M12" s="115"/>
      <c r="N12" s="117"/>
    </row>
    <row r="13" spans="1:14" ht="19.5" customHeight="1" x14ac:dyDescent="0.2">
      <c r="A13" s="109"/>
      <c r="B13" s="110"/>
      <c r="C13" s="124" t="s">
        <v>155</v>
      </c>
      <c r="D13" s="125"/>
      <c r="E13" s="56">
        <f ca="1">SUMIFS(LookupData!I$3:I$2682,LookupData!$A$3:$A$2682,$D$4,LookupData!$B$3:$B$2682,$D$8,LookupData!$C$3:$C$2682,$A12)</f>
        <v>269422.89</v>
      </c>
      <c r="F13" s="57">
        <f ca="1">SUMIFS(LookupData!J$3:J$2682,LookupData!$A$3:$A$2682,$D$4,LookupData!$B$3:$B$2682,$D$8,LookupData!$C$3:$C$2682,$A12)</f>
        <v>280398.95</v>
      </c>
      <c r="G13" s="57">
        <f ca="1">SUMIFS(LookupData!K$3:K$2682,LookupData!$A$3:$A$2682,$D$4,LookupData!$B$3:$B$2682,$D$8,LookupData!$C$3:$C$2682,$A12)</f>
        <v>284536.53999999998</v>
      </c>
      <c r="H13" s="57">
        <f ca="1">SUMIFS(LookupData!L$3:L$2682,LookupData!$A$3:$A$2682,$D$4,LookupData!$B$3:$B$2682,$D$8,LookupData!$C$3:$C$2682,$A12)</f>
        <v>285920.38</v>
      </c>
      <c r="I13" s="47">
        <v>287248.38</v>
      </c>
      <c r="J13" s="127"/>
      <c r="K13" s="127"/>
      <c r="L13" s="127"/>
      <c r="M13" s="116"/>
      <c r="N13" s="118"/>
    </row>
    <row r="14" spans="1:14" ht="19.5" customHeight="1" thickBot="1" x14ac:dyDescent="0.25">
      <c r="A14" s="109"/>
      <c r="B14" s="110"/>
      <c r="C14" s="124" t="s">
        <v>156</v>
      </c>
      <c r="D14" s="125"/>
      <c r="E14" s="58">
        <f ca="1">SUMIFS(LookupData!D$3:D$2682,LookupData!$A$3:$A$2682,$D$4,LookupData!$B$3:$B$2682,$D$8,LookupData!$C$3:$C$2682,$A12)</f>
        <v>308324.5</v>
      </c>
      <c r="F14" s="59">
        <f ca="1">SUMIFS(LookupData!E$3:E$2682,LookupData!$A$3:$A$2682,$D$4,LookupData!$B$3:$B$2682,$D$8,LookupData!$C$3:$C$2682,$A12)</f>
        <v>380324.5</v>
      </c>
      <c r="G14" s="59">
        <f ca="1">SUMIFS(LookupData!F$3:F$2682,LookupData!$A$3:$A$2682,$D$4,LookupData!$B$3:$B$2682,$D$8,LookupData!$C$3:$C$2682,$A12)</f>
        <v>308324.5</v>
      </c>
      <c r="H14" s="59">
        <f ca="1">SUMIFS(LookupData!G$3:G$2682,LookupData!$A$3:$A$2682,$D$4,LookupData!$B$3:$B$2682,$D$8,LookupData!$C$3:$C$2682,$A12)</f>
        <v>308324.5</v>
      </c>
      <c r="I14" s="48">
        <v>308324.5</v>
      </c>
      <c r="J14" s="127"/>
      <c r="K14" s="127"/>
      <c r="L14" s="127"/>
      <c r="M14" s="116"/>
      <c r="N14" s="118"/>
    </row>
    <row r="15" spans="1:14" ht="19.5" customHeight="1" thickTop="1" thickBot="1" x14ac:dyDescent="0.25">
      <c r="A15" s="111"/>
      <c r="B15" s="112"/>
      <c r="C15" s="124" t="s">
        <v>157</v>
      </c>
      <c r="D15" s="125"/>
      <c r="E15" s="75">
        <f ca="1">IFERROR(IF(E14=0,1,ROUND(E13/E14,4)),0)</f>
        <v>0.87380000000000002</v>
      </c>
      <c r="F15" s="81">
        <f t="shared" ref="F15:I15" ca="1" si="0">IFERROR(IF(F14=0,1,ROUND(F13/F14,4)),0)</f>
        <v>0.73729999999999996</v>
      </c>
      <c r="G15" s="81">
        <f t="shared" ca="1" si="0"/>
        <v>0.92279999999999995</v>
      </c>
      <c r="H15" s="81">
        <f t="shared" ca="1" si="0"/>
        <v>0.92730000000000001</v>
      </c>
      <c r="I15" s="82">
        <f t="shared" si="0"/>
        <v>0.93159999999999998</v>
      </c>
      <c r="J15" s="127"/>
      <c r="K15" s="127"/>
      <c r="L15" s="127"/>
      <c r="M15" s="116"/>
      <c r="N15" s="118"/>
    </row>
    <row r="16" spans="1:14" ht="20.25" customHeight="1" thickBot="1" x14ac:dyDescent="0.25">
      <c r="A16" s="130" t="str">
        <f>LookupData!W4</f>
        <v>CGE CQ2-18</v>
      </c>
      <c r="B16" s="131"/>
      <c r="C16" s="113" t="str">
        <f>LookupData!X4</f>
        <v>RPE 03/31/17</v>
      </c>
      <c r="D16" s="114"/>
      <c r="E16" s="147"/>
      <c r="F16" s="43" t="s">
        <v>150</v>
      </c>
      <c r="G16" s="44" t="s">
        <v>151</v>
      </c>
      <c r="H16" s="44" t="s">
        <v>152</v>
      </c>
      <c r="I16" s="44" t="s">
        <v>153</v>
      </c>
      <c r="J16" s="45" t="s">
        <v>154</v>
      </c>
      <c r="K16" s="138"/>
      <c r="L16" s="140"/>
      <c r="M16" s="152"/>
      <c r="N16" s="153"/>
    </row>
    <row r="17" spans="1:16" ht="20.25" customHeight="1" x14ac:dyDescent="0.2">
      <c r="A17" s="132"/>
      <c r="B17" s="133"/>
      <c r="C17" s="124" t="s">
        <v>155</v>
      </c>
      <c r="D17" s="125"/>
      <c r="E17" s="148"/>
      <c r="F17" s="56">
        <f ca="1">SUMIFS(LookupData!I$3:I$2682,LookupData!$A$3:$A$2682,$D$4,LookupData!$B$3:$B$2682,$D$8,LookupData!$C$3:$C$2682,$A16)</f>
        <v>294392.21000000002</v>
      </c>
      <c r="G17" s="57">
        <f ca="1">SUMIFS(LookupData!J$3:J$2682,LookupData!$A$3:$A$2682,$D$4,LookupData!$B$3:$B$2682,$D$8,LookupData!$C$3:$C$2682,$A16)</f>
        <v>306232.78999999998</v>
      </c>
      <c r="H17" s="57">
        <f ca="1">SUMIFS(LookupData!K$3:K$2682,LookupData!$A$3:$A$2682,$D$4,LookupData!$B$3:$B$2682,$D$8,LookupData!$C$3:$C$2682,$A16)</f>
        <v>308458.34000000003</v>
      </c>
      <c r="I17" s="32">
        <v>310345.34000000003</v>
      </c>
      <c r="J17" s="47"/>
      <c r="K17" s="141"/>
      <c r="L17" s="143"/>
      <c r="M17" s="152"/>
      <c r="N17" s="153"/>
    </row>
    <row r="18" spans="1:16" ht="20.25" customHeight="1" thickBot="1" x14ac:dyDescent="0.25">
      <c r="A18" s="132"/>
      <c r="B18" s="133"/>
      <c r="C18" s="124" t="s">
        <v>156</v>
      </c>
      <c r="D18" s="125"/>
      <c r="E18" s="148"/>
      <c r="F18" s="58">
        <f ca="1">SUMIFS(LookupData!D$3:D$2682,LookupData!$A$3:$A$2682,$D$4,LookupData!$B$3:$B$2682,$D$8,LookupData!$C$3:$C$2682,$A16)</f>
        <v>334879.8</v>
      </c>
      <c r="G18" s="59">
        <f ca="1">SUMIFS(LookupData!E$3:E$2682,LookupData!$A$3:$A$2682,$D$4,LookupData!$B$3:$B$2682,$D$8,LookupData!$C$3:$C$2682,$A16)</f>
        <v>334879.8</v>
      </c>
      <c r="H18" s="59">
        <f ca="1">SUMIFS(LookupData!F$3:F$2682,LookupData!$A$3:$A$2682,$D$4,LookupData!$B$3:$B$2682,$D$8,LookupData!$C$3:$C$2682,$A16)</f>
        <v>334879.8</v>
      </c>
      <c r="I18" s="42">
        <v>334879.8</v>
      </c>
      <c r="J18" s="48"/>
      <c r="K18" s="141"/>
      <c r="L18" s="143"/>
      <c r="M18" s="152"/>
      <c r="N18" s="153"/>
    </row>
    <row r="19" spans="1:16" ht="20.25" customHeight="1" thickTop="1" thickBot="1" x14ac:dyDescent="0.25">
      <c r="A19" s="134"/>
      <c r="B19" s="135"/>
      <c r="C19" s="136" t="s">
        <v>157</v>
      </c>
      <c r="D19" s="137"/>
      <c r="E19" s="149"/>
      <c r="F19" s="77">
        <f ca="1">IFERROR(IF(F18=0,1,ROUND(F17/F18,4)),0)</f>
        <v>0.87909999999999999</v>
      </c>
      <c r="G19" s="79">
        <f t="shared" ref="G19:J19" ca="1" si="1">IFERROR(IF(G18=0,1,ROUND(G17/G18,4)),0)</f>
        <v>0.91449999999999998</v>
      </c>
      <c r="H19" s="79">
        <f t="shared" ca="1" si="1"/>
        <v>0.92110000000000003</v>
      </c>
      <c r="I19" s="79">
        <f t="shared" si="1"/>
        <v>0.92669999999999997</v>
      </c>
      <c r="J19" s="80">
        <f t="shared" si="1"/>
        <v>1</v>
      </c>
      <c r="K19" s="144"/>
      <c r="L19" s="146"/>
      <c r="M19" s="152"/>
      <c r="N19" s="153"/>
    </row>
    <row r="20" spans="1:16" ht="20.25" customHeight="1" thickBot="1" x14ac:dyDescent="0.25">
      <c r="A20" s="107" t="str">
        <f>LookupData!W5</f>
        <v>CGE CQ3-18</v>
      </c>
      <c r="B20" s="108"/>
      <c r="C20" s="128" t="str">
        <f>LookupData!X5</f>
        <v>RPE 06/30/17</v>
      </c>
      <c r="D20" s="129"/>
      <c r="E20" s="150"/>
      <c r="F20" s="151"/>
      <c r="G20" s="54" t="s">
        <v>150</v>
      </c>
      <c r="H20" s="40" t="s">
        <v>151</v>
      </c>
      <c r="I20" s="40" t="s">
        <v>152</v>
      </c>
      <c r="J20" s="40" t="s">
        <v>153</v>
      </c>
      <c r="K20" s="55" t="s">
        <v>154</v>
      </c>
      <c r="L20" s="141"/>
      <c r="M20" s="152"/>
      <c r="N20" s="153"/>
    </row>
    <row r="21" spans="1:16" ht="20.25" customHeight="1" x14ac:dyDescent="0.2">
      <c r="A21" s="109"/>
      <c r="B21" s="110"/>
      <c r="C21" s="124" t="s">
        <v>155</v>
      </c>
      <c r="D21" s="125"/>
      <c r="E21" s="150"/>
      <c r="F21" s="151"/>
      <c r="G21" s="56">
        <f ca="1">SUMIFS(LookupData!I$3:I$2682,LookupData!$A$3:$A$2682,$D$4,LookupData!$B$3:$B$2682,$D$8,LookupData!$C$3:$C$2682,$A20)</f>
        <v>307537.64</v>
      </c>
      <c r="H21" s="57">
        <f ca="1">SUMIFS(LookupData!J$3:J$2682,LookupData!$A$3:$A$2682,$D$4,LookupData!$B$3:$B$2682,$D$8,LookupData!$C$3:$C$2682,$A20)</f>
        <v>319380.81</v>
      </c>
      <c r="I21" s="32">
        <v>322250.14</v>
      </c>
      <c r="J21" s="32"/>
      <c r="K21" s="47"/>
      <c r="L21" s="141"/>
      <c r="M21" s="152"/>
      <c r="N21" s="153"/>
    </row>
    <row r="22" spans="1:16" ht="20.25" customHeight="1" thickBot="1" x14ac:dyDescent="0.25">
      <c r="A22" s="109"/>
      <c r="B22" s="110"/>
      <c r="C22" s="124" t="s">
        <v>156</v>
      </c>
      <c r="D22" s="125"/>
      <c r="E22" s="150"/>
      <c r="F22" s="151"/>
      <c r="G22" s="58">
        <f ca="1">SUMIFS(LookupData!D$3:D$2682,LookupData!$A$3:$A$2682,$D$4,LookupData!$B$3:$B$2682,$D$8,LookupData!$C$3:$C$2682,$A20)</f>
        <v>358445.8</v>
      </c>
      <c r="H22" s="59">
        <f ca="1">SUMIFS(LookupData!E$3:E$2682,LookupData!$A$3:$A$2682,$D$4,LookupData!$B$3:$B$2682,$D$8,LookupData!$C$3:$C$2682,$A20)</f>
        <v>358420.8</v>
      </c>
      <c r="I22" s="42">
        <v>358420.8</v>
      </c>
      <c r="J22" s="42"/>
      <c r="K22" s="48"/>
      <c r="L22" s="141"/>
      <c r="M22" s="152"/>
      <c r="N22" s="153"/>
    </row>
    <row r="23" spans="1:16" ht="20.25" customHeight="1" thickTop="1" thickBot="1" x14ac:dyDescent="0.25">
      <c r="A23" s="111"/>
      <c r="B23" s="112"/>
      <c r="C23" s="124" t="s">
        <v>157</v>
      </c>
      <c r="D23" s="125"/>
      <c r="E23" s="150"/>
      <c r="F23" s="151"/>
      <c r="G23" s="75">
        <f t="shared" ref="G23:K23" ca="1" si="2">IFERROR(IF(G22=0,1,ROUND(G21/G22,4)),0)</f>
        <v>0.85799999999999998</v>
      </c>
      <c r="H23" s="81">
        <f t="shared" ca="1" si="2"/>
        <v>0.8911</v>
      </c>
      <c r="I23" s="81">
        <f t="shared" si="2"/>
        <v>0.89910000000000001</v>
      </c>
      <c r="J23" s="81">
        <f t="shared" si="2"/>
        <v>1</v>
      </c>
      <c r="K23" s="82">
        <f t="shared" si="2"/>
        <v>1</v>
      </c>
      <c r="L23" s="141"/>
      <c r="M23" s="152"/>
      <c r="N23" s="153"/>
      <c r="O23"/>
      <c r="P23"/>
    </row>
    <row r="24" spans="1:16" ht="20.25" customHeight="1" thickBot="1" x14ac:dyDescent="0.25">
      <c r="A24" s="130" t="str">
        <f>LookupData!W6</f>
        <v>CGE CQ4-18</v>
      </c>
      <c r="B24" s="131"/>
      <c r="C24" s="113" t="str">
        <f>LookupData!X6</f>
        <v>RPE 09/30/17</v>
      </c>
      <c r="D24" s="114"/>
      <c r="E24" s="138"/>
      <c r="F24" s="139"/>
      <c r="G24" s="140"/>
      <c r="H24" s="43" t="s">
        <v>150</v>
      </c>
      <c r="I24" s="44" t="s">
        <v>151</v>
      </c>
      <c r="J24" s="44" t="s">
        <v>152</v>
      </c>
      <c r="K24" s="44" t="s">
        <v>153</v>
      </c>
      <c r="L24" s="45" t="s">
        <v>154</v>
      </c>
      <c r="M24" s="154"/>
      <c r="N24" s="156"/>
      <c r="O24"/>
      <c r="P24"/>
    </row>
    <row r="25" spans="1:16" ht="20.25" customHeight="1" x14ac:dyDescent="0.2">
      <c r="A25" s="132"/>
      <c r="B25" s="133"/>
      <c r="C25" s="124" t="s">
        <v>155</v>
      </c>
      <c r="D25" s="125"/>
      <c r="E25" s="141"/>
      <c r="F25" s="142"/>
      <c r="G25" s="143"/>
      <c r="H25" s="56">
        <f ca="1">SUMIFS(LookupData!I$3:I$2682,LookupData!$A$3:$A$2682,$D$4,LookupData!$B$3:$B$2682,$D$8,LookupData!$C$3:$C$2682,$A24)</f>
        <v>260649.09</v>
      </c>
      <c r="I25" s="32">
        <v>271912.09999999998</v>
      </c>
      <c r="J25" s="32"/>
      <c r="K25" s="32"/>
      <c r="L25" s="47"/>
      <c r="M25" s="154"/>
      <c r="N25" s="156"/>
      <c r="O25"/>
      <c r="P25"/>
    </row>
    <row r="26" spans="1:16" ht="20.25" customHeight="1" thickBot="1" x14ac:dyDescent="0.25">
      <c r="A26" s="132"/>
      <c r="B26" s="133"/>
      <c r="C26" s="124" t="s">
        <v>156</v>
      </c>
      <c r="D26" s="125"/>
      <c r="E26" s="141"/>
      <c r="F26" s="142"/>
      <c r="G26" s="143"/>
      <c r="H26" s="58">
        <f ca="1">SUMIFS(LookupData!D$3:D$2682,LookupData!$A$3:$A$2682,$D$4,LookupData!$B$3:$B$2682,$D$8,LookupData!$C$3:$C$2682,$A24)</f>
        <v>307560.09999999998</v>
      </c>
      <c r="I26" s="42">
        <v>307320.09999999998</v>
      </c>
      <c r="J26" s="42"/>
      <c r="K26" s="42"/>
      <c r="L26" s="48"/>
      <c r="M26" s="154"/>
      <c r="N26" s="156"/>
      <c r="O26"/>
      <c r="P26"/>
    </row>
    <row r="27" spans="1:16" ht="20.25" customHeight="1" thickTop="1" thickBot="1" x14ac:dyDescent="0.25">
      <c r="A27" s="134"/>
      <c r="B27" s="135"/>
      <c r="C27" s="136" t="s">
        <v>157</v>
      </c>
      <c r="D27" s="137"/>
      <c r="E27" s="144"/>
      <c r="F27" s="145"/>
      <c r="G27" s="146"/>
      <c r="H27" s="77">
        <f t="shared" ref="H27:L27" ca="1" si="3">IFERROR(IF(H26=0,1,ROUND(H25/H26,4)),0)</f>
        <v>0.84750000000000003</v>
      </c>
      <c r="I27" s="79">
        <f t="shared" si="3"/>
        <v>0.88480000000000003</v>
      </c>
      <c r="J27" s="79">
        <f t="shared" si="3"/>
        <v>1</v>
      </c>
      <c r="K27" s="79">
        <f t="shared" si="3"/>
        <v>1</v>
      </c>
      <c r="L27" s="80">
        <f t="shared" si="3"/>
        <v>1</v>
      </c>
      <c r="M27" s="155"/>
      <c r="N27" s="157"/>
      <c r="O27"/>
      <c r="P27"/>
    </row>
    <row r="28" spans="1:16" ht="20.25" customHeight="1" thickBot="1" x14ac:dyDescent="0.25">
      <c r="A28" s="107" t="str">
        <f>LookupData!W7</f>
        <v>CGE CQ1-19</v>
      </c>
      <c r="B28" s="108"/>
      <c r="C28" s="113" t="str">
        <f>LookupData!X7</f>
        <v>RPE 12/31/17</v>
      </c>
      <c r="D28" s="114"/>
      <c r="E28" s="138"/>
      <c r="F28" s="139"/>
      <c r="G28" s="139"/>
      <c r="H28" s="140"/>
      <c r="I28" s="43" t="s">
        <v>150</v>
      </c>
      <c r="J28" s="44" t="s">
        <v>151</v>
      </c>
      <c r="K28" s="44" t="s">
        <v>152</v>
      </c>
      <c r="L28" s="45" t="s">
        <v>153</v>
      </c>
      <c r="M28" s="181"/>
      <c r="N28" s="182"/>
      <c r="O28"/>
      <c r="P28"/>
    </row>
    <row r="29" spans="1:16" ht="20.25" customHeight="1" x14ac:dyDescent="0.2">
      <c r="A29" s="109"/>
      <c r="B29" s="110"/>
      <c r="C29" s="124" t="s">
        <v>155</v>
      </c>
      <c r="D29" s="125"/>
      <c r="E29" s="141"/>
      <c r="F29" s="142"/>
      <c r="G29" s="142"/>
      <c r="H29" s="143"/>
      <c r="I29" s="46">
        <v>271847.11</v>
      </c>
      <c r="J29" s="32"/>
      <c r="K29" s="32"/>
      <c r="L29" s="47"/>
      <c r="M29" s="150"/>
      <c r="N29" s="183"/>
      <c r="O29"/>
      <c r="P29"/>
    </row>
    <row r="30" spans="1:16" ht="20.25" customHeight="1" thickBot="1" x14ac:dyDescent="0.25">
      <c r="A30" s="109"/>
      <c r="B30" s="110"/>
      <c r="C30" s="124" t="s">
        <v>156</v>
      </c>
      <c r="D30" s="125"/>
      <c r="E30" s="141"/>
      <c r="F30" s="142"/>
      <c r="G30" s="142"/>
      <c r="H30" s="143"/>
      <c r="I30" s="41">
        <v>329764.81</v>
      </c>
      <c r="J30" s="42"/>
      <c r="K30" s="42"/>
      <c r="L30" s="48"/>
      <c r="M30" s="184"/>
      <c r="N30" s="185"/>
      <c r="O30"/>
      <c r="P30"/>
    </row>
    <row r="31" spans="1:16" ht="20.25" customHeight="1" thickTop="1" thickBot="1" x14ac:dyDescent="0.25">
      <c r="A31" s="111"/>
      <c r="B31" s="112"/>
      <c r="C31" s="136" t="s">
        <v>157</v>
      </c>
      <c r="D31" s="137"/>
      <c r="E31" s="144"/>
      <c r="F31" s="145"/>
      <c r="G31" s="145"/>
      <c r="H31" s="146"/>
      <c r="I31" s="77">
        <f t="shared" ref="I31:L31" si="4">IFERROR(IF(I30=0,1,ROUND(I29/I30,4)),0)</f>
        <v>0.82440000000000002</v>
      </c>
      <c r="J31" s="79">
        <f t="shared" si="4"/>
        <v>1</v>
      </c>
      <c r="K31" s="79">
        <f t="shared" si="4"/>
        <v>1</v>
      </c>
      <c r="L31" s="78">
        <f t="shared" si="4"/>
        <v>1</v>
      </c>
      <c r="M31" s="159" t="s">
        <v>159</v>
      </c>
      <c r="N31" s="160"/>
      <c r="O31"/>
      <c r="P31"/>
    </row>
    <row r="32" spans="1:16" ht="20.25" customHeight="1" thickBot="1" x14ac:dyDescent="0.25">
      <c r="A32" s="130" t="str">
        <f>LookupData!W8</f>
        <v>CGE CQ2-19</v>
      </c>
      <c r="B32" s="131"/>
      <c r="C32" s="113" t="str">
        <f>LookupData!X8</f>
        <v>RPE 03/31/18</v>
      </c>
      <c r="D32" s="114"/>
      <c r="E32" s="138"/>
      <c r="F32" s="139"/>
      <c r="G32" s="139"/>
      <c r="H32" s="139"/>
      <c r="I32" s="140"/>
      <c r="J32" s="43" t="s">
        <v>150</v>
      </c>
      <c r="K32" s="44" t="s">
        <v>151</v>
      </c>
      <c r="L32" s="44" t="s">
        <v>152</v>
      </c>
      <c r="M32" s="169" t="s">
        <v>178</v>
      </c>
      <c r="N32" s="170"/>
      <c r="O32"/>
      <c r="P32"/>
    </row>
    <row r="33" spans="1:16" ht="20.25" customHeight="1" x14ac:dyDescent="0.2">
      <c r="A33" s="132"/>
      <c r="B33" s="133"/>
      <c r="C33" s="124" t="s">
        <v>155</v>
      </c>
      <c r="D33" s="125"/>
      <c r="E33" s="141"/>
      <c r="F33" s="142"/>
      <c r="G33" s="142"/>
      <c r="H33" s="142"/>
      <c r="I33" s="143"/>
      <c r="J33" s="46"/>
      <c r="K33" s="32"/>
      <c r="L33" s="52"/>
      <c r="M33" s="173"/>
      <c r="N33" s="174"/>
      <c r="O33"/>
      <c r="P33"/>
    </row>
    <row r="34" spans="1:16" ht="20.25" customHeight="1" thickBot="1" x14ac:dyDescent="0.25">
      <c r="A34" s="132"/>
      <c r="B34" s="133"/>
      <c r="C34" s="124" t="s">
        <v>156</v>
      </c>
      <c r="D34" s="125"/>
      <c r="E34" s="141"/>
      <c r="F34" s="142"/>
      <c r="G34" s="142"/>
      <c r="H34" s="142"/>
      <c r="I34" s="143"/>
      <c r="J34" s="41"/>
      <c r="K34" s="42"/>
      <c r="L34" s="53"/>
      <c r="M34" s="175"/>
      <c r="N34" s="176"/>
      <c r="O34"/>
      <c r="P34"/>
    </row>
    <row r="35" spans="1:16" ht="20.25" customHeight="1" thickTop="1" thickBot="1" x14ac:dyDescent="0.25">
      <c r="A35" s="134"/>
      <c r="B35" s="135"/>
      <c r="C35" s="136" t="s">
        <v>157</v>
      </c>
      <c r="D35" s="137"/>
      <c r="E35" s="144"/>
      <c r="F35" s="145"/>
      <c r="G35" s="145"/>
      <c r="H35" s="145"/>
      <c r="I35" s="146"/>
      <c r="J35" s="77">
        <f t="shared" ref="J35:L35" si="5">IFERROR(IF(J34=0,1,ROUND(J33/J34,4)),0)</f>
        <v>1</v>
      </c>
      <c r="K35" s="79">
        <f t="shared" si="5"/>
        <v>1</v>
      </c>
      <c r="L35" s="78">
        <f t="shared" si="5"/>
        <v>1</v>
      </c>
      <c r="M35" s="171" t="s">
        <v>179</v>
      </c>
      <c r="N35" s="172"/>
      <c r="O35"/>
      <c r="P35"/>
    </row>
    <row r="36" spans="1:16" ht="20.25" customHeight="1" thickBot="1" x14ac:dyDescent="0.25">
      <c r="A36" s="107" t="str">
        <f>LookupData!W9</f>
        <v>CGE CQ3-19</v>
      </c>
      <c r="B36" s="108"/>
      <c r="C36" s="113" t="str">
        <f>LookupData!X9</f>
        <v>RPE 06/30/18</v>
      </c>
      <c r="D36" s="114"/>
      <c r="E36" s="138"/>
      <c r="F36" s="139"/>
      <c r="G36" s="139"/>
      <c r="H36" s="139"/>
      <c r="I36" s="139"/>
      <c r="J36" s="140"/>
      <c r="K36" s="43" t="s">
        <v>150</v>
      </c>
      <c r="L36" s="44" t="s">
        <v>151</v>
      </c>
      <c r="M36" s="177"/>
      <c r="N36" s="178"/>
      <c r="O36"/>
      <c r="P36"/>
    </row>
    <row r="37" spans="1:16" ht="20.25" customHeight="1" thickBot="1" x14ac:dyDescent="0.25">
      <c r="A37" s="109"/>
      <c r="B37" s="110"/>
      <c r="C37" s="124" t="s">
        <v>155</v>
      </c>
      <c r="D37" s="125"/>
      <c r="E37" s="141"/>
      <c r="F37" s="142"/>
      <c r="G37" s="142"/>
      <c r="H37" s="142"/>
      <c r="I37" s="142"/>
      <c r="J37" s="143"/>
      <c r="K37" s="46"/>
      <c r="L37" s="32"/>
      <c r="M37" s="179"/>
      <c r="N37" s="180"/>
      <c r="O37"/>
      <c r="P37"/>
    </row>
    <row r="38" spans="1:16" ht="20.25" customHeight="1" thickBot="1" x14ac:dyDescent="0.25">
      <c r="A38" s="109"/>
      <c r="B38" s="110"/>
      <c r="C38" s="124" t="s">
        <v>156</v>
      </c>
      <c r="D38" s="125"/>
      <c r="E38" s="141"/>
      <c r="F38" s="142"/>
      <c r="G38" s="142"/>
      <c r="H38" s="142"/>
      <c r="I38" s="142"/>
      <c r="J38" s="143"/>
      <c r="K38" s="41"/>
      <c r="L38" s="42"/>
      <c r="M38" s="171" t="s">
        <v>180</v>
      </c>
      <c r="N38" s="172"/>
      <c r="O38"/>
      <c r="P38"/>
    </row>
    <row r="39" spans="1:16" ht="20.25" customHeight="1" thickTop="1" thickBot="1" x14ac:dyDescent="0.25">
      <c r="A39" s="111"/>
      <c r="B39" s="112"/>
      <c r="C39" s="136" t="s">
        <v>157</v>
      </c>
      <c r="D39" s="137"/>
      <c r="E39" s="144"/>
      <c r="F39" s="145"/>
      <c r="G39" s="145"/>
      <c r="H39" s="145"/>
      <c r="I39" s="145"/>
      <c r="J39" s="146"/>
      <c r="K39" s="77">
        <f t="shared" ref="K39:L39" si="6">IFERROR(IF(K38=0,1,ROUND(K37/K38,4)),0)</f>
        <v>1</v>
      </c>
      <c r="L39" s="78">
        <f t="shared" si="6"/>
        <v>1</v>
      </c>
      <c r="M39" s="177"/>
      <c r="N39" s="178"/>
      <c r="O39"/>
      <c r="P39"/>
    </row>
    <row r="40" spans="1:16" ht="20.25" customHeight="1" thickBot="1" x14ac:dyDescent="0.25">
      <c r="A40" s="130" t="str">
        <f>LookupData!W10</f>
        <v>CGE CQ4-19</v>
      </c>
      <c r="B40" s="131"/>
      <c r="C40" s="113" t="str">
        <f>LookupData!X10</f>
        <v>RPE 09/30/18</v>
      </c>
      <c r="D40" s="114"/>
      <c r="E40" s="138"/>
      <c r="F40" s="139"/>
      <c r="G40" s="139"/>
      <c r="H40" s="139"/>
      <c r="I40" s="139"/>
      <c r="J40" s="139"/>
      <c r="K40" s="140"/>
      <c r="L40" s="43" t="s">
        <v>150</v>
      </c>
      <c r="M40" s="179"/>
      <c r="N40" s="180"/>
      <c r="O40"/>
      <c r="P40"/>
    </row>
    <row r="41" spans="1:16" ht="20.25" customHeight="1" x14ac:dyDescent="0.2">
      <c r="A41" s="132"/>
      <c r="B41" s="133"/>
      <c r="C41" s="124" t="s">
        <v>155</v>
      </c>
      <c r="D41" s="125"/>
      <c r="E41" s="141"/>
      <c r="F41" s="142"/>
      <c r="G41" s="142"/>
      <c r="H41" s="142"/>
      <c r="I41" s="142"/>
      <c r="J41" s="142"/>
      <c r="K41" s="143"/>
      <c r="L41" s="63"/>
      <c r="M41" s="171" t="s">
        <v>181</v>
      </c>
      <c r="N41" s="172"/>
      <c r="O41"/>
      <c r="P41"/>
    </row>
    <row r="42" spans="1:16" ht="20.25" customHeight="1" thickBot="1" x14ac:dyDescent="0.25">
      <c r="A42" s="132"/>
      <c r="B42" s="133"/>
      <c r="C42" s="124" t="s">
        <v>156</v>
      </c>
      <c r="D42" s="125"/>
      <c r="E42" s="141"/>
      <c r="F42" s="142"/>
      <c r="G42" s="142"/>
      <c r="H42" s="142"/>
      <c r="I42" s="142"/>
      <c r="J42" s="142"/>
      <c r="K42" s="143"/>
      <c r="L42" s="64"/>
      <c r="M42" s="177"/>
      <c r="N42" s="178"/>
      <c r="O42"/>
      <c r="P42"/>
    </row>
    <row r="43" spans="1:16" ht="20.25" customHeight="1" thickTop="1" thickBot="1" x14ac:dyDescent="0.25">
      <c r="A43" s="134"/>
      <c r="B43" s="135"/>
      <c r="C43" s="136" t="s">
        <v>157</v>
      </c>
      <c r="D43" s="137"/>
      <c r="E43" s="144"/>
      <c r="F43" s="145"/>
      <c r="G43" s="145"/>
      <c r="H43" s="145"/>
      <c r="I43" s="145"/>
      <c r="J43" s="145"/>
      <c r="K43" s="146"/>
      <c r="L43" s="76">
        <f>IFERROR(IF(L42=0,1,ROUND(L41/L42,4)),0)</f>
        <v>1</v>
      </c>
      <c r="M43" s="179"/>
      <c r="N43" s="180"/>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68" t="s">
        <v>177</v>
      </c>
      <c r="E45" s="168"/>
      <c r="F45" s="168"/>
      <c r="G45" s="168"/>
      <c r="H45" s="168" t="s">
        <v>172</v>
      </c>
      <c r="I45" s="168"/>
      <c r="J45" s="168"/>
      <c r="K45" s="168"/>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0KeAwGr9DuJfQ1ayHNhoJhe4bmfV/SJGAt5bBjHCnWtfTVXONd1wnUhcd6WMV2pnKKViMd9HGHnf9Ge47h87HQ==" saltValue="lJ7cfyDLsehz/EMI9HkdAA==" spinCount="100000" sheet="1" objects="1" scenarios="1" formatColumns="0"/>
  <mergeCells count="81">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A28:B31"/>
    <mergeCell ref="C28:D28"/>
    <mergeCell ref="E28:H31"/>
    <mergeCell ref="M28:N30"/>
    <mergeCell ref="C29:D29"/>
    <mergeCell ref="C30:D30"/>
    <mergeCell ref="C31:D31"/>
    <mergeCell ref="M31:N31"/>
    <mergeCell ref="A24:B27"/>
    <mergeCell ref="C24:D24"/>
    <mergeCell ref="E24:G27"/>
    <mergeCell ref="M24:M27"/>
    <mergeCell ref="N24:N27"/>
    <mergeCell ref="C25:D25"/>
    <mergeCell ref="C26:D26"/>
    <mergeCell ref="C27:D27"/>
    <mergeCell ref="A20:B23"/>
    <mergeCell ref="C20:D20"/>
    <mergeCell ref="E20:F23"/>
    <mergeCell ref="L20:L23"/>
    <mergeCell ref="M20:M23"/>
    <mergeCell ref="N20:N23"/>
    <mergeCell ref="C21:D21"/>
    <mergeCell ref="C22:D22"/>
    <mergeCell ref="C23:D23"/>
    <mergeCell ref="K16:L19"/>
    <mergeCell ref="M16:M19"/>
    <mergeCell ref="N16:N19"/>
    <mergeCell ref="C17:D17"/>
    <mergeCell ref="C18:D18"/>
    <mergeCell ref="C19:D19"/>
    <mergeCell ref="E16:E19"/>
    <mergeCell ref="N12:N15"/>
    <mergeCell ref="A16:B19"/>
    <mergeCell ref="C16:D16"/>
    <mergeCell ref="A12:B15"/>
    <mergeCell ref="C12:D1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s>
  <conditionalFormatting sqref="M12:N15">
    <cfRule type="expression" dxfId="37" priority="19">
      <formula>$I$15&lt;$H$8</formula>
    </cfRule>
  </conditionalFormatting>
  <conditionalFormatting sqref="M16:N19">
    <cfRule type="expression" dxfId="36" priority="18">
      <formula>$J$19&lt;$H$8</formula>
    </cfRule>
  </conditionalFormatting>
  <conditionalFormatting sqref="M20:N23">
    <cfRule type="expression" dxfId="35" priority="17">
      <formula>$K$23&lt;$H$8</formula>
    </cfRule>
  </conditionalFormatting>
  <conditionalFormatting sqref="M24:N27">
    <cfRule type="expression" dxfId="34" priority="16">
      <formula>$L$27&lt;$H$8</formula>
    </cfRule>
  </conditionalFormatting>
  <conditionalFormatting sqref="F14:I14">
    <cfRule type="expression" dxfId="33" priority="15">
      <formula>F14&gt;(MIN($E14:E14))</formula>
    </cfRule>
  </conditionalFormatting>
  <conditionalFormatting sqref="F13:I13">
    <cfRule type="expression" dxfId="32" priority="14">
      <formula>F13&lt;(MAX($E13:E13))</formula>
    </cfRule>
  </conditionalFormatting>
  <conditionalFormatting sqref="G17:J17">
    <cfRule type="expression" dxfId="31" priority="13">
      <formula>G17&lt;(MAX($F17:F17))</formula>
    </cfRule>
  </conditionalFormatting>
  <conditionalFormatting sqref="G18:J18">
    <cfRule type="expression" dxfId="30" priority="12">
      <formula>G18&gt;(MIN($F18:F18))</formula>
    </cfRule>
  </conditionalFormatting>
  <conditionalFormatting sqref="H22:K22">
    <cfRule type="expression" dxfId="29" priority="11">
      <formula>H22&gt;(MIN($G22:G22))</formula>
    </cfRule>
  </conditionalFormatting>
  <conditionalFormatting sqref="H21:K21">
    <cfRule type="expression" dxfId="28" priority="10">
      <formula>H21&lt;(MAX($G21:G21))</formula>
    </cfRule>
  </conditionalFormatting>
  <conditionalFormatting sqref="I26:L26">
    <cfRule type="expression" dxfId="27" priority="9">
      <formula>I26&gt;(MIN($H26:H26))</formula>
    </cfRule>
  </conditionalFormatting>
  <conditionalFormatting sqref="I25:L25">
    <cfRule type="expression" dxfId="26" priority="8">
      <formula>I25&lt;(MAX($H25:H25))</formula>
    </cfRule>
  </conditionalFormatting>
  <conditionalFormatting sqref="J30:L30">
    <cfRule type="expression" dxfId="25" priority="7">
      <formula>J30&gt;(MIN($I30:I30))</formula>
    </cfRule>
  </conditionalFormatting>
  <conditionalFormatting sqref="J29:L29">
    <cfRule type="expression" dxfId="24" priority="6">
      <formula>J29&lt;(MAX($I29:I29))</formula>
    </cfRule>
  </conditionalFormatting>
  <conditionalFormatting sqref="K34:L34">
    <cfRule type="expression" dxfId="23" priority="5">
      <formula>K34&gt;(MIN($J34:J34))</formula>
    </cfRule>
  </conditionalFormatting>
  <conditionalFormatting sqref="K33:L33">
    <cfRule type="expression" dxfId="22" priority="4">
      <formula>K33&lt;(MAX($J33:J33))</formula>
    </cfRule>
  </conditionalFormatting>
  <conditionalFormatting sqref="L38">
    <cfRule type="expression" dxfId="21" priority="3">
      <formula>L38&gt;(MIN($G38:K38))</formula>
    </cfRule>
  </conditionalFormatting>
  <conditionalFormatting sqref="L37">
    <cfRule type="expression" dxfId="20" priority="2">
      <formula>L37&lt;(MAX($K37:K37))</formula>
    </cfRule>
  </conditionalFormatting>
  <conditionalFormatting sqref="I15 J19 K23 L27">
    <cfRule type="expression" dxfId="19"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2018-03-02T16:03:35Z</cp:lastPrinted>
  <dcterms:created xsi:type="dcterms:W3CDTF">1996-10-14T23:33:28Z</dcterms:created>
  <dcterms:modified xsi:type="dcterms:W3CDTF">2018-03-02T16:20:09Z</dcterms:modified>
</cp:coreProperties>
</file>